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TFlangeSegment\"/>
    </mc:Choice>
  </mc:AlternateContent>
  <xr:revisionPtr revIDLastSave="0" documentId="13_ncr:1_{83F78606-0074-49F2-9A49-7B24BE4CDEA0}" xr6:coauthVersionLast="47" xr6:coauthVersionMax="47" xr10:uidLastSave="{00000000-0000-0000-0000-000000000000}"/>
  <bookViews>
    <workbookView xWindow="-28920" yWindow="15" windowWidth="29040" windowHeight="1752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Gap120deg!$J$162</definedName>
    <definedName name="a_prime" localSheetId="0">Gap30deg!$J$162</definedName>
    <definedName name="a_prime" localSheetId="1">Gap60deg!$J$162</definedName>
    <definedName name="a_prime" localSheetId="2">Gap90deg!$J$162</definedName>
    <definedName name="a_star" localSheetId="3">Gap120deg!$J$163</definedName>
    <definedName name="a_star" localSheetId="0">Gap30deg!$J$163</definedName>
    <definedName name="a_star" localSheetId="1">Gap60deg!$J$163</definedName>
    <definedName name="a_star" localSheetId="2">Gap90deg!$J$163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Gap120deg!$J$158</definedName>
    <definedName name="bolt.As" localSheetId="0">Gap30deg!$J$158</definedName>
    <definedName name="bolt.As" localSheetId="1">Gap60deg!$J$158</definedName>
    <definedName name="bolt.As" localSheetId="2">Gap90deg!$J$158</definedName>
    <definedName name="bolt.axial_stiffness" localSheetId="3">Gap120deg!$J$156</definedName>
    <definedName name="bolt.axial_stiffness" localSheetId="0">Gap30deg!$J$156</definedName>
    <definedName name="bolt.axial_stiffness" localSheetId="1">Gap60deg!$J$156</definedName>
    <definedName name="bolt.axial_stiffness" localSheetId="2">Gap90deg!$J$156</definedName>
    <definedName name="bolt.bending_stiffness" localSheetId="3">Gap120deg!$J$157</definedName>
    <definedName name="bolt.bending_stiffness" localSheetId="0">Gap30deg!$J$157</definedName>
    <definedName name="bolt.bending_stiffness" localSheetId="1">Gap60deg!$J$157</definedName>
    <definedName name="bolt.bending_stiffness" localSheetId="2">Gap90deg!$J$157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Gap120deg!$J$165</definedName>
    <definedName name="clamped_parts_stiffness" localSheetId="0">Gap30deg!$J$165</definedName>
    <definedName name="clamped_parts_stiffness" localSheetId="1">Gap60deg!$J$165</definedName>
    <definedName name="clamped_parts_stiffness" localSheetId="2">Gap90deg!$J$165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c" localSheetId="3">Gap120deg!$J$149</definedName>
    <definedName name="DZ_gap_c" localSheetId="0">Gap30deg!$J$149</definedName>
    <definedName name="DZ_gap_c" localSheetId="1">Gap60deg!$J$149</definedName>
    <definedName name="DZ_gap_c" localSheetId="2">Gap90deg!$J$149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Gap120deg!$J$150</definedName>
    <definedName name="DZ_gap_tot" localSheetId="0">Gap30deg!$J$150</definedName>
    <definedName name="DZ_gap_tot" localSheetId="1">Gap60deg!$J$150</definedName>
    <definedName name="DZ_gap_tot" localSheetId="2">Gap90deg!$J$150</definedName>
    <definedName name="DZdwDZ" localSheetId="3">Gap120deg!$J$169</definedName>
    <definedName name="DZdwDZ" localSheetId="0">Gap30deg!$J$169</definedName>
    <definedName name="DZdwDZ" localSheetId="1">Gap60deg!$J$169</definedName>
    <definedName name="DZdwDZ" localSheetId="2">Gap90deg!$J$169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_V_c" localSheetId="3">Gap120deg!$J$168</definedName>
    <definedName name="F_V_c" localSheetId="0">Gap30deg!$J$168</definedName>
    <definedName name="F_V_c" localSheetId="1">Gap60deg!$J$168</definedName>
    <definedName name="F_V_c" localSheetId="2">Gap90deg!$J$168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Gap120deg!$J$161</definedName>
    <definedName name="gap.angle" localSheetId="0">Gap30deg!$J$161</definedName>
    <definedName name="gap.angle" localSheetId="1">Gap60deg!$J$161</definedName>
    <definedName name="gap.angle" localSheetId="2">Gap90deg!$J$161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Gap120deg!$J$164</definedName>
    <definedName name="I_tg" localSheetId="0">Gap30deg!$J$164</definedName>
    <definedName name="I_tg" localSheetId="1">Gap60deg!$J$164</definedName>
    <definedName name="I_tg" localSheetId="2">Gap90deg!$J$164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MZT1_" localSheetId="3">Gap120deg!$J$172</definedName>
    <definedName name="MZT1_" localSheetId="0">Gap30deg!$J$172</definedName>
    <definedName name="MZT1_" localSheetId="1">Gap60deg!$J$172</definedName>
    <definedName name="MZT1_" localSheetId="2">Gap90deg!$J$172</definedName>
    <definedName name="MZT2_" localSheetId="3">Gap120deg!$J$175</definedName>
    <definedName name="MZT2_" localSheetId="0">Gap30deg!$J$175</definedName>
    <definedName name="MZT2_" localSheetId="1">Gap60deg!$J$175</definedName>
    <definedName name="MZT2_" localSheetId="2">Gap90deg!$J$175</definedName>
    <definedName name="MZThigh1" localSheetId="3">Gap120deg!$J$171</definedName>
    <definedName name="MZThigh1" localSheetId="0">Gap30deg!$J$171</definedName>
    <definedName name="MZThigh1" localSheetId="1">Gap60deg!$J$171</definedName>
    <definedName name="MZThigh1" localSheetId="2">Gap90deg!$J$171</definedName>
    <definedName name="MZThigh2" localSheetId="3">Gap120deg!$J$174</definedName>
    <definedName name="MZThigh2" localSheetId="0">Gap30deg!$J$174</definedName>
    <definedName name="MZThigh2" localSheetId="1">Gap60deg!$J$174</definedName>
    <definedName name="MZThigh2" localSheetId="2">Gap90deg!$J$174</definedName>
    <definedName name="MZTlow1" localSheetId="3">Gap120deg!$J$170</definedName>
    <definedName name="MZTlow1" localSheetId="0">Gap30deg!$J$170</definedName>
    <definedName name="MZTlow1" localSheetId="1">Gap60deg!$J$170</definedName>
    <definedName name="MZTlow1" localSheetId="2">Gap90deg!$J$170</definedName>
    <definedName name="MZTlow2" localSheetId="3">Gap120deg!$J$173</definedName>
    <definedName name="MZTlow2" localSheetId="0">Gap30deg!$J$173</definedName>
    <definedName name="MZTlow2" localSheetId="1">Gap60deg!$J$173</definedName>
    <definedName name="MZTlow2" localSheetId="2">Gap90deg!$J$173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Gap120deg!$J$153</definedName>
    <definedName name="polynomial_initial_slope" localSheetId="0">Gap30deg!$J$153</definedName>
    <definedName name="polynomial_initial_slope" localSheetId="1">Gap60deg!$J$153</definedName>
    <definedName name="polynomial_initial_slope" localSheetId="2">Gap90deg!$J$153</definedName>
    <definedName name="_xlnm.Print_Area" localSheetId="3">Gap120deg!$A$11:$K$177</definedName>
    <definedName name="_xlnm.Print_Area" localSheetId="0">Gap30deg!$A$11:$K$177</definedName>
    <definedName name="_xlnm.Print_Area" localSheetId="1">Gap60deg!$A$11:$K$177</definedName>
    <definedName name="_xlnm.Print_Area" localSheetId="2">Gap90deg!$A$11:$K$177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Gap120deg!$J$166</definedName>
    <definedName name="true_force_initial_slope" localSheetId="0">Gap30deg!$J$166</definedName>
    <definedName name="true_force_initial_slope" localSheetId="1">Gap60deg!$J$166</definedName>
    <definedName name="true_force_initial_slope" localSheetId="2">Gap90deg!$J$166</definedName>
    <definedName name="true_moment_initial_slope" localSheetId="3">Gap120deg!$J$167</definedName>
    <definedName name="true_moment_initial_slope" localSheetId="0">Gap30deg!$J$167</definedName>
    <definedName name="true_moment_initial_slope" localSheetId="1">Gap60deg!$J$167</definedName>
    <definedName name="true_moment_initial_slope" localSheetId="2">Gap90deg!$J$167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B28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F106" i="16" a="1"/>
  <c r="F70" i="16" a="1"/>
  <c r="F81" i="16" a="1"/>
  <c r="F50" i="16" a="1"/>
  <c r="F93" i="16" a="1"/>
  <c r="F112" i="16" a="1"/>
  <c r="F118" i="16" a="1"/>
  <c r="F122" i="16" a="1"/>
  <c r="F125" i="16" a="1"/>
  <c r="F76" i="16" a="1"/>
  <c r="F72" i="16" a="1"/>
  <c r="F132" i="16" a="1"/>
  <c r="F52" i="16" a="1"/>
  <c r="F29" i="16" a="1"/>
  <c r="F101" i="16" a="1"/>
  <c r="F51" i="16" a="1"/>
  <c r="F67" i="16" a="1"/>
  <c r="F30" i="16" a="1"/>
  <c r="F130" i="16" a="1"/>
  <c r="F61" i="16" a="1"/>
  <c r="F90" i="16" a="1"/>
  <c r="F110" i="16" a="1"/>
  <c r="F107" i="16" a="1"/>
  <c r="F31" i="16" a="1"/>
  <c r="F87" i="16" a="1"/>
  <c r="F99" i="16" a="1"/>
  <c r="F38" i="16" a="1"/>
  <c r="F97" i="16" a="1"/>
  <c r="F95" i="16" a="1"/>
  <c r="F100" i="16" a="1"/>
  <c r="F113" i="16" a="1"/>
  <c r="F37" i="16" a="1"/>
  <c r="F82" i="16" a="1"/>
  <c r="F121" i="16" a="1"/>
  <c r="F108" i="16" a="1"/>
  <c r="F84" i="16" a="1"/>
  <c r="F88" i="16" a="1"/>
  <c r="F92" i="16" a="1"/>
  <c r="F129" i="16" a="1"/>
  <c r="F123" i="16" a="1"/>
  <c r="F36" i="16" a="1"/>
  <c r="F77" i="16" a="1"/>
  <c r="F120" i="16" a="1"/>
  <c r="F126" i="16" a="1"/>
  <c r="F104" i="16" a="1"/>
  <c r="F83" i="16" a="1"/>
  <c r="F91" i="16" a="1"/>
  <c r="F60" i="16" a="1"/>
  <c r="F48" i="16" a="1"/>
  <c r="F71" i="16" a="1"/>
  <c r="F79" i="16" a="1"/>
  <c r="F127" i="16" a="1"/>
  <c r="F131" i="16" a="1"/>
  <c r="F124" i="16" a="1"/>
  <c r="F53" i="16" a="1"/>
  <c r="F49" i="16" a="1"/>
  <c r="F68" i="16" a="1"/>
  <c r="F69" i="16" a="1"/>
  <c r="F133" i="16" a="1"/>
  <c r="F86" i="16" a="1"/>
  <c r="F78" i="16" a="1"/>
  <c r="F89" i="16" a="1"/>
  <c r="F128" i="16" a="1"/>
  <c r="F92" i="16" l="1"/>
  <c r="F131" i="16"/>
  <c r="F132" i="16"/>
  <c r="F133" i="16"/>
  <c r="F130" i="16"/>
  <c r="F126" i="16"/>
  <c r="F123" i="16"/>
  <c r="F121" i="16"/>
  <c r="F127" i="16"/>
  <c r="F125" i="16"/>
  <c r="F124" i="16"/>
  <c r="F122" i="16"/>
  <c r="F120" i="16"/>
  <c r="G120" i="16" s="1"/>
  <c r="F110" i="16"/>
  <c r="F108" i="16"/>
  <c r="F90" i="16"/>
  <c r="F91" i="16"/>
  <c r="F95" i="16"/>
  <c r="F118" i="16"/>
  <c r="F129" i="16"/>
  <c r="F128" i="16"/>
  <c r="E132" i="16" a="1"/>
  <c r="E132" i="16" s="1"/>
  <c r="E131" i="16" a="1"/>
  <c r="E131" i="16" s="1"/>
  <c r="E133" i="16" a="1"/>
  <c r="E133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E124" i="16" a="1"/>
  <c r="E124" i="16" s="1"/>
  <c r="E123" i="16" a="1"/>
  <c r="E123" i="16" s="1"/>
  <c r="E122" i="16" a="1"/>
  <c r="E122" i="16" s="1"/>
  <c r="E121" i="16" a="1"/>
  <c r="E121" i="16" s="1"/>
  <c r="F104" i="16"/>
  <c r="F93" i="16"/>
  <c r="F79" i="16"/>
  <c r="F100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2" i="16"/>
  <c r="F106" i="16"/>
  <c r="F107" i="16"/>
  <c r="F99" i="16"/>
  <c r="F81" i="16"/>
  <c r="F82" i="16"/>
  <c r="F87" i="16"/>
  <c r="F101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7" i="15"/>
  <c r="S156" i="15"/>
  <c r="A124" i="15"/>
  <c r="A160" i="15" s="1"/>
  <c r="J116" i="15"/>
  <c r="J115" i="15"/>
  <c r="J114" i="15"/>
  <c r="J113" i="15"/>
  <c r="A94" i="15"/>
  <c r="A112" i="15" s="1"/>
  <c r="A64" i="15"/>
  <c r="A82" i="15" s="1"/>
  <c r="A21" i="15"/>
  <c r="A59" i="15" s="1"/>
  <c r="S157" i="14"/>
  <c r="S156" i="14"/>
  <c r="A124" i="14"/>
  <c r="A160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7" i="13"/>
  <c r="S156" i="13"/>
  <c r="A124" i="13"/>
  <c r="A160" i="13" s="1"/>
  <c r="J116" i="13"/>
  <c r="J115" i="13"/>
  <c r="J114" i="13"/>
  <c r="J113" i="13"/>
  <c r="A94" i="13"/>
  <c r="A112" i="13" s="1"/>
  <c r="A64" i="13"/>
  <c r="A82" i="13" s="1"/>
  <c r="A21" i="13"/>
  <c r="A59" i="13" s="1"/>
  <c r="S156" i="2"/>
  <c r="S157" i="2"/>
  <c r="D16" i="2"/>
  <c r="G121" i="16" l="1"/>
  <c r="G133" i="16"/>
  <c r="G110" i="16"/>
  <c r="G122" i="16"/>
  <c r="G124" i="16"/>
  <c r="G125" i="16"/>
  <c r="G127" i="16"/>
  <c r="G123" i="16"/>
  <c r="G126" i="16"/>
  <c r="G132" i="16"/>
  <c r="G131" i="16"/>
  <c r="G128" i="16"/>
  <c r="G129" i="16"/>
  <c r="G130" i="16"/>
  <c r="G118" i="16"/>
  <c r="G91" i="16"/>
  <c r="G90" i="16"/>
  <c r="G79" i="16"/>
  <c r="G92" i="16"/>
  <c r="G76" i="16"/>
  <c r="G52" i="16"/>
  <c r="G101" i="16"/>
  <c r="G78" i="16"/>
  <c r="G30" i="16"/>
  <c r="G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5" i="13"/>
  <c r="A118" i="14"/>
  <c r="A155" i="14"/>
  <c r="A46" i="14"/>
  <c r="A131" i="14"/>
  <c r="A118" i="15"/>
  <c r="A155" i="15"/>
  <c r="A126" i="15"/>
  <c r="A144" i="15"/>
  <c r="A139" i="15"/>
  <c r="A152" i="15"/>
  <c r="A126" i="14"/>
  <c r="A144" i="14"/>
  <c r="A139" i="14"/>
  <c r="A152" i="14"/>
  <c r="A139" i="13"/>
  <c r="A126" i="13"/>
  <c r="A144" i="13"/>
  <c r="A152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60" i="2"/>
  <c r="A126" i="2"/>
  <c r="A152" i="2"/>
  <c r="A155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<sst xmlns="http://schemas.openxmlformats.org/spreadsheetml/2006/main" count="1787" uniqueCount="363">
  <si>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</si>
  <si>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</si>
  <si>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</si>
  <si>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</si>
  <si>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</si>
  <si>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</si>
  <si>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</si>
  <si>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</si>
  <si>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</si>
  <si>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</si>
  <si>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</si>
  <si>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</si>
  <si>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</si>
  <si>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</si>
  <si>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</si>
  <si>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</si>
  <si>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</si>
  <si>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</si>
  <si>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</si>
  <si>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</si>
  <si>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</si>
  <si>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</si>
  <si>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</si>
  <si>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</si>
  <si>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</si>
  <si>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</si>
  <si>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</si>
  <si>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</si>
  <si>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</si>
  <si>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</si>
  <si>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</si>
  <si>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</si>
  <si>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</si>
  <si>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</si>
  <si>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</si>
  <si>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</si>
  <si>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</si>
  <si>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</si>
  <si>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</si>
  <si>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</si>
  <si>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</si>
  <si>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</si>
  <si>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</si>
  <si>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</si>
  <si>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</si>
  <si>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</si>
  <si>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</si>
  <si>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</si>
  <si>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</si>
  <si>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</si>
  <si>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</si>
  <si>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</si>
  <si>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</si>
  <si>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</si>
  <si>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</si>
  <si>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</si>
  <si>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</si>
  <si>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</si>
  <si>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</si>
  <si>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</si>
  <si>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</si>
  <si>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</si>
  <si>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</si>
  <si>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</si>
  <si>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</si>
  <si>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</si>
  <si>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</si>
  <si>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</si>
  <si>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</si>
  <si>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</si>
  <si>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</si>
  <si>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</si>
  <si>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</si>
  <si>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</si>
  <si>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</si>
  <si>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</si>
  <si>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</si>
  <si>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</si>
  <si>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</si>
  <si>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</si>
  <si>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</si>
  <si>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</si>
  <si>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</si>
  <si>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</si>
  <si>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</si>
  <si>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</si>
  <si>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</si>
  <si>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</si>
  <si>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</si>
  <si>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</si>
  <si>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</si>
  <si>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</si>
  <si>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</si>
  <si>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</si>
  <si>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</si>
  <si>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</si>
  <si>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</si>
  <si>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</si>
  <si>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</si>
  <si>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</si>
  <si>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</si>
  <si>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</si>
  <si>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</si>
  <si>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</si>
  <si>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</si>
  <si>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</si>
  <si>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</si>
  <si>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</si>
  <si>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</si>
  <si>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</si>
  <si>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</si>
  <si>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</si>
  <si>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</si>
  <si>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</si>
  <si>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</si>
  <si>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</si>
  <si>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</si>
  <si>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</si>
  <si>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</si>
  <si>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</si>
  <si>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</si>
  <si>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</si>
  <si>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</si>
  <si>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</si>
  <si>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</si>
  <si>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</si>
  <si>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</si>
  <si>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</si>
  <si>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</si>
  <si>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</si>
  <si>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</si>
  <si>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</si>
  <si>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</si>
  <si>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</si>
  <si>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</si>
  <si>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</si>
  <si>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</si>
  <si>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</si>
  <si>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</si>
  <si>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</si>
  <si>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</si>
  <si>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</si>
  <si>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</si>
  <si>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</si>
  <si>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</si>
  <si>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</si>
  <si>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</si>
  <si>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</si>
  <si>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</si>
  <si>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</si>
  <si>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</si>
  <si>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</si>
  <si>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</si>
  <si>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</si>
  <si>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</si>
  <si>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</si>
  <si>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</si>
  <si>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</si>
  <si>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</si>
  <si>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</si>
  <si>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</si>
  <si>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</si>
  <si>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</si>
  <si>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</si>
  <si>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</si>
  <si>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</si>
  <si>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</si>
  <si>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</si>
  <si>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</si>
  <si>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</si>
  <si>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</si>
  <si>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</si>
  <si>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</si>
  <si>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</si>
  <si>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</si>
  <si>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</si>
  <si>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</si>
  <si>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</si>
  <si>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</si>
  <si>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</si>
  <si>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</si>
  <si>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</si>
  <si>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</si>
  <si>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</si>
  <si>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</si>
  <si>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</si>
  <si>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</si>
  <si>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</si>
  <si>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</si>
  <si>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</si>
  <si>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</si>
  <si>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</si>
  <si>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</si>
  <si>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</si>
  <si>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</si>
  <si>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</si>
  <si>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</si>
  <si>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</si>
  <si>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</si>
  <si>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</si>
  <si>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</si>
  <si>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</si>
  <si>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</si>
  <si>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</si>
  <si>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</si>
  <si>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</si>
  <si>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</si>
  <si>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</si>
  <si>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</si>
  <si>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</si>
  <si>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</si>
  <si>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</si>
  <si>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</si>
  <si>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</si>
  <si>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</si>
  <si>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</si>
  <si>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</si>
  <si>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</si>
  <si>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</si>
  <si>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</si>
  <si>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</si>
  <si>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</si>
  <si>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</si>
  <si>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</si>
  <si>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</si>
  <si>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</si>
  <si>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</si>
  <si>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</si>
  <si>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</si>
  <si>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</si>
  <si>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</si>
  <si>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</si>
  <si>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</si>
  <si>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</si>
  <si>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</si>
  <si>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</si>
  <si>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</si>
  <si>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</si>
  <si>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</si>
  <si>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</si>
  <si>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</si>
  <si>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</si>
  <si>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</si>
  <si>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</si>
  <si>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</si>
  <si>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</si>
  <si>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</si>
  <si>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</si>
  <si>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</si>
  <si>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</si>
  <si>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</si>
  <si>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</si>
  <si>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</si>
  <si>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</si>
  <si>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</si>
  <si>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</si>
  <si>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</si>
  <si>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</si>
  <si>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</si>
  <si>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</si>
  <si>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</si>
  <si>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</si>
  <si>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</si>
  <si>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</si>
  <si>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</si>
  <si>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</si>
  <si>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</si>
  <si>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</si>
  <si>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</si>
  <si>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</si>
  <si>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</si>
  <si>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</si>
  <si>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</si>
  <si>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</si>
  <si>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</si>
  <si>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</si>
  <si>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</si>
  <si>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</si>
  <si>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</si>
  <si>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</si>
  <si>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</si>
  <si>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</si>
  <si>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</si>
  <si>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</si>
  <si>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</si>
  <si>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</si>
  <si>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</si>
  <si>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</si>
  <si>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</si>
  <si>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</si>
  <si>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</si>
  <si>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</si>
  <si>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</si>
  <si>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</si>
  <si>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</si>
  <si>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</si>
  <si>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</si>
  <si>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</si>
  <si>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</si>
  <si>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</si>
  <si>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</si>
  <si>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</si>
  <si>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</si>
  <si>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</si>
  <si>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</si>
  <si>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</si>
  <si>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</si>
  <si>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</si>
  <si>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</si>
  <si>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</si>
  <si>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</si>
  <si>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</si>
  <si>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</si>
  <si>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</si>
  <si>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</si>
  <si>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</si>
  <si>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</si>
  <si>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</si>
  <si>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</si>
  <si>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</si>
  <si>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</si>
  <si>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</si>
  <si>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</si>
  <si>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</si>
  <si>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</si>
  <si>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</si>
  <si>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</si>
  <si>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</si>
  <si>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</si>
  <si>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</si>
  <si>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</si>
  <si>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</si>
  <si>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</si>
  <si>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</si>
  <si>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</si>
  <si>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</si>
  <si>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</si>
  <si>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</si>
  <si>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</si>
  <si>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</si>
  <si>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</si>
  <si>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</si>
  <si>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</si>
  <si>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</si>
  <si>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</si>
  <si>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</si>
  <si>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</si>
  <si>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t>M48</t>
  </si>
  <si>
    <t>PyFlange Value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</si>
  <si>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gap,c</t>
    </r>
    <r>
      <rPr>
        <sz val="10"/>
        <color rgb="FF000000"/>
        <rFont val="Consolas"/>
        <family val="3"/>
      </rPr>
      <t xml:space="preserve"> =</t>
    </r>
  </si>
  <si>
    <t>Force necessary to neutralize a early prying:</t>
  </si>
  <si>
    <t>Force at early prying</t>
  </si>
  <si>
    <t>Fvc =</t>
  </si>
  <si>
    <t/>
  </si>
  <si>
    <t>DZdwDZ</t>
  </si>
  <si>
    <t>MZTlow1</t>
  </si>
  <si>
    <t>MZThigh1</t>
  </si>
  <si>
    <t>MZT1</t>
  </si>
  <si>
    <t>MZTlow2</t>
  </si>
  <si>
    <t>MZThigh2</t>
  </si>
  <si>
    <t>MZT2</t>
  </si>
  <si>
    <t>polynomial_initial_slope</t>
  </si>
  <si>
    <t>Inclination used: 1.00deg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</si>
</sst>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67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0"/>
      <color theme="1"/>
      <name val="Arial"/>
      <family val="2"/>
      <charset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33">
    <xf numFmtId="0" fontId="0" fillId="0" borderId="0"/>
    <xf numFmtId="0" fontId="6" fillId="0" borderId="0"/>
    <xf numFmtId="0" fontId="5" fillId="0" borderId="0"/>
    <xf numFmtId="9" fontId="43" fillId="0" borderId="0" applyFont="0" applyFill="0" applyBorder="0" applyAlignment="0" applyProtection="0"/>
    <xf numFmtId="0" fontId="4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3" fillId="0" borderId="0"/>
    <xf numFmtId="9" fontId="4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70">
    <xf numFmtId="0" fontId="0" fillId="0" borderId="0" xfId="0"/>
    <xf numFmtId="0" fontId="7" fillId="2" borderId="0" xfId="1" applyFont="1" applyFill="1" applyAlignment="1">
      <alignment vertical="center"/>
    </xf>
    <xf numFmtId="0" fontId="8" fillId="2" borderId="0" xfId="1" applyFont="1" applyFill="1" applyAlignment="1">
      <alignment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9" fillId="3" borderId="1" xfId="1" applyFont="1" applyFill="1" applyBorder="1" applyAlignment="1">
      <alignment horizontal="left" vertical="center"/>
    </xf>
    <xf numFmtId="2" fontId="10" fillId="3" borderId="1" xfId="1" applyNumberFormat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right" vertical="center"/>
    </xf>
    <xf numFmtId="0" fontId="12" fillId="3" borderId="1" xfId="1" applyFont="1" applyFill="1" applyBorder="1" applyAlignment="1">
      <alignment horizontal="left" vertical="center"/>
    </xf>
    <xf numFmtId="0" fontId="13" fillId="3" borderId="0" xfId="1" applyFont="1" applyFill="1" applyAlignment="1">
      <alignment horizontal="right" vertical="center"/>
    </xf>
    <xf numFmtId="0" fontId="9" fillId="3" borderId="2" xfId="1" applyFont="1" applyFill="1" applyBorder="1" applyAlignment="1">
      <alignment horizontal="right" vertical="center"/>
    </xf>
    <xf numFmtId="0" fontId="12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/>
    </xf>
    <xf numFmtId="2" fontId="15" fillId="3" borderId="4" xfId="1" applyNumberFormat="1" applyFont="1" applyFill="1" applyBorder="1" applyAlignment="1">
      <alignment horizontal="center"/>
    </xf>
    <xf numFmtId="0" fontId="16" fillId="3" borderId="4" xfId="1" applyFont="1" applyFill="1" applyBorder="1" applyAlignment="1">
      <alignment horizontal="left"/>
    </xf>
    <xf numFmtId="0" fontId="9" fillId="3" borderId="5" xfId="1" applyFont="1" applyFill="1" applyBorder="1" applyAlignment="1">
      <alignment horizontal="left" vertical="center"/>
    </xf>
    <xf numFmtId="0" fontId="9" fillId="3" borderId="5" xfId="1" applyFont="1" applyFill="1" applyBorder="1" applyAlignment="1">
      <alignment horizontal="right" vertical="center"/>
    </xf>
    <xf numFmtId="0" fontId="12" fillId="3" borderId="5" xfId="1" applyFont="1" applyFill="1" applyBorder="1" applyAlignment="1">
      <alignment horizontal="left" vertical="center"/>
    </xf>
    <xf numFmtId="0" fontId="7" fillId="2" borderId="0" xfId="1" applyFont="1" applyFill="1" applyAlignment="1">
      <alignment vertical="center" wrapText="1"/>
    </xf>
    <xf numFmtId="0" fontId="17" fillId="4" borderId="0" xfId="1" applyFont="1" applyFill="1" applyAlignment="1">
      <alignment horizontal="left" vertical="top" wrapText="1"/>
    </xf>
    <xf numFmtId="0" fontId="7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18" fillId="0" borderId="7" xfId="1" applyFont="1" applyBorder="1" applyAlignment="1">
      <alignment horizontal="center" vertical="center" wrapText="1"/>
    </xf>
    <xf numFmtId="0" fontId="18" fillId="0" borderId="0" xfId="1" applyFont="1" applyAlignment="1">
      <alignment horizontal="center" vertical="center" wrapText="1"/>
    </xf>
    <xf numFmtId="0" fontId="18" fillId="0" borderId="8" xfId="1" applyFont="1" applyBorder="1" applyAlignment="1">
      <alignment horizontal="center" vertical="center" wrapText="1"/>
    </xf>
    <xf numFmtId="0" fontId="17" fillId="4" borderId="0" xfId="1" applyFont="1" applyFill="1" applyAlignment="1">
      <alignment vertical="top" wrapText="1"/>
    </xf>
    <xf numFmtId="0" fontId="18" fillId="0" borderId="11" xfId="1" applyFont="1" applyBorder="1" applyAlignment="1">
      <alignment vertical="center" wrapText="1"/>
    </xf>
    <xf numFmtId="0" fontId="18" fillId="0" borderId="12" xfId="1" applyFont="1" applyBorder="1" applyAlignment="1">
      <alignment vertical="center" wrapText="1"/>
    </xf>
    <xf numFmtId="0" fontId="18" fillId="0" borderId="13" xfId="1" applyFont="1" applyBorder="1" applyAlignment="1">
      <alignment vertical="center" wrapText="1"/>
    </xf>
    <xf numFmtId="0" fontId="8" fillId="0" borderId="9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8" fillId="0" borderId="16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8" fillId="0" borderId="17" xfId="1" applyFont="1" applyBorder="1" applyAlignment="1">
      <alignment vertical="center"/>
    </xf>
    <xf numFmtId="0" fontId="19" fillId="2" borderId="0" xfId="1" applyFont="1" applyFill="1"/>
    <xf numFmtId="0" fontId="17" fillId="0" borderId="0" xfId="1" applyFont="1" applyAlignment="1">
      <alignment vertical="top" wrapText="1"/>
    </xf>
    <xf numFmtId="2" fontId="20" fillId="3" borderId="18" xfId="1" applyNumberFormat="1" applyFont="1" applyFill="1" applyBorder="1" applyAlignment="1">
      <alignment horizontal="left"/>
    </xf>
    <xf numFmtId="0" fontId="20" fillId="3" borderId="18" xfId="1" applyFont="1" applyFill="1" applyBorder="1" applyAlignment="1">
      <alignment horizontal="left"/>
    </xf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right" vertical="center"/>
    </xf>
    <xf numFmtId="0" fontId="23" fillId="2" borderId="0" xfId="1" applyFont="1" applyFill="1" applyAlignment="1">
      <alignment vertical="center"/>
    </xf>
    <xf numFmtId="0" fontId="24" fillId="2" borderId="0" xfId="1" applyFont="1" applyFill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0" fontId="26" fillId="2" borderId="19" xfId="1" applyFont="1" applyFill="1" applyBorder="1" applyAlignment="1">
      <alignment horizontal="center" vertical="center"/>
    </xf>
    <xf numFmtId="14" fontId="26" fillId="2" borderId="19" xfId="1" applyNumberFormat="1" applyFont="1" applyFill="1" applyBorder="1" applyAlignment="1">
      <alignment horizontal="center" vertical="center"/>
    </xf>
    <xf numFmtId="49" fontId="25" fillId="2" borderId="19" xfId="1" applyNumberFormat="1" applyFont="1" applyFill="1" applyBorder="1" applyAlignment="1">
      <alignment horizontal="center" vertical="center"/>
    </xf>
    <xf numFmtId="0" fontId="25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 vertical="center"/>
    </xf>
    <xf numFmtId="0" fontId="29" fillId="2" borderId="0" xfId="1" applyFont="1" applyFill="1" applyAlignment="1">
      <alignment horizontal="right" vertical="center"/>
    </xf>
    <xf numFmtId="0" fontId="29" fillId="2" borderId="0" xfId="1" applyFont="1" applyFill="1" applyAlignment="1">
      <alignment vertical="center"/>
    </xf>
    <xf numFmtId="0" fontId="27" fillId="2" borderId="0" xfId="1" applyFont="1" applyFill="1" applyAlignment="1">
      <alignment vertical="center"/>
    </xf>
    <xf numFmtId="0" fontId="7" fillId="2" borderId="23" xfId="1" applyFont="1" applyFill="1" applyBorder="1" applyAlignment="1">
      <alignment vertical="center"/>
    </xf>
    <xf numFmtId="49" fontId="21" fillId="2" borderId="23" xfId="1" applyNumberFormat="1" applyFont="1" applyFill="1" applyBorder="1" applyAlignment="1">
      <alignment horizontal="center" vertical="center"/>
    </xf>
    <xf numFmtId="0" fontId="22" fillId="2" borderId="23" xfId="1" applyFont="1" applyFill="1" applyBorder="1" applyAlignment="1">
      <alignment horizontal="right" vertical="center"/>
    </xf>
    <xf numFmtId="0" fontId="8" fillId="2" borderId="23" xfId="1" applyFont="1" applyFill="1" applyBorder="1" applyAlignment="1">
      <alignment vertical="center"/>
    </xf>
    <xf numFmtId="0" fontId="23" fillId="2" borderId="23" xfId="1" applyFont="1" applyFill="1" applyBorder="1" applyAlignment="1">
      <alignment vertical="center"/>
    </xf>
    <xf numFmtId="0" fontId="8" fillId="2" borderId="24" xfId="1" applyFont="1" applyFill="1" applyBorder="1" applyAlignment="1">
      <alignment vertical="center"/>
    </xf>
    <xf numFmtId="0" fontId="12" fillId="3" borderId="0" xfId="1" applyFont="1" applyFill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9" fillId="3" borderId="0" xfId="1" applyFont="1" applyFill="1" applyAlignment="1">
      <alignment horizontal="left" vertical="center"/>
    </xf>
    <xf numFmtId="0" fontId="10" fillId="3" borderId="1" xfId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164" fontId="10" fillId="3" borderId="5" xfId="1" applyNumberFormat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165" fontId="10" fillId="3" borderId="1" xfId="1" applyNumberFormat="1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 vertical="center"/>
    </xf>
    <xf numFmtId="1" fontId="10" fillId="3" borderId="5" xfId="1" applyNumberFormat="1" applyFont="1" applyFill="1" applyBorder="1" applyAlignment="1">
      <alignment horizontal="center" vertical="center"/>
    </xf>
    <xf numFmtId="0" fontId="8" fillId="2" borderId="0" xfId="1" applyFont="1" applyFill="1" applyAlignment="1">
      <alignment vertical="center" wrapText="1"/>
    </xf>
    <xf numFmtId="0" fontId="7" fillId="2" borderId="0" xfId="1" applyFont="1" applyFill="1" applyAlignment="1">
      <alignment horizontal="right" vertical="center"/>
    </xf>
    <xf numFmtId="0" fontId="7" fillId="2" borderId="25" xfId="1" applyFont="1" applyFill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5" xfId="1" applyFont="1" applyBorder="1" applyAlignment="1">
      <alignment vertical="center"/>
    </xf>
    <xf numFmtId="0" fontId="8" fillId="0" borderId="14" xfId="1" applyFont="1" applyBorder="1" applyAlignment="1">
      <alignment vertical="center"/>
    </xf>
    <xf numFmtId="0" fontId="14" fillId="3" borderId="0" xfId="1" applyFont="1" applyFill="1" applyAlignment="1">
      <alignment horizontal="left" indent="2"/>
    </xf>
    <xf numFmtId="1" fontId="12" fillId="3" borderId="25" xfId="1" applyNumberFormat="1" applyFont="1" applyFill="1" applyBorder="1" applyAlignment="1">
      <alignment horizontal="center" vertical="center"/>
    </xf>
    <xf numFmtId="1" fontId="32" fillId="6" borderId="25" xfId="1" applyNumberFormat="1" applyFont="1" applyFill="1" applyBorder="1" applyAlignment="1">
      <alignment horizontal="center" vertical="center"/>
    </xf>
    <xf numFmtId="0" fontId="32" fillId="6" borderId="25" xfId="1" applyFont="1" applyFill="1" applyBorder="1" applyAlignment="1">
      <alignment horizontal="center" vertical="center"/>
    </xf>
    <xf numFmtId="164" fontId="12" fillId="3" borderId="25" xfId="1" applyNumberFormat="1" applyFont="1" applyFill="1" applyBorder="1" applyAlignment="1">
      <alignment horizontal="center" vertical="center"/>
    </xf>
    <xf numFmtId="11" fontId="12" fillId="3" borderId="25" xfId="1" applyNumberFormat="1" applyFont="1" applyFill="1" applyBorder="1" applyAlignment="1">
      <alignment horizontal="center" vertical="center"/>
    </xf>
    <xf numFmtId="0" fontId="36" fillId="3" borderId="1" xfId="1" applyFont="1" applyFill="1" applyBorder="1" applyAlignment="1">
      <alignment horizontal="right" vertical="center"/>
    </xf>
    <xf numFmtId="0" fontId="35" fillId="3" borderId="1" xfId="1" applyFont="1" applyFill="1" applyBorder="1" applyAlignment="1">
      <alignment horizontal="right" vertical="center"/>
    </xf>
    <xf numFmtId="0" fontId="36" fillId="3" borderId="5" xfId="1" applyFont="1" applyFill="1" applyBorder="1" applyAlignment="1">
      <alignment horizontal="right" vertical="center"/>
    </xf>
    <xf numFmtId="165" fontId="10" fillId="3" borderId="5" xfId="1" applyNumberFormat="1" applyFont="1" applyFill="1" applyBorder="1" applyAlignment="1">
      <alignment horizontal="center" vertical="center"/>
    </xf>
    <xf numFmtId="0" fontId="7" fillId="2" borderId="0" xfId="2" applyFont="1" applyFill="1" applyAlignment="1">
      <alignment vertical="center"/>
    </xf>
    <xf numFmtId="0" fontId="7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14" fontId="7" fillId="2" borderId="0" xfId="2" applyNumberFormat="1" applyFont="1" applyFill="1" applyAlignment="1">
      <alignment vertical="center"/>
    </xf>
    <xf numFmtId="0" fontId="18" fillId="0" borderId="26" xfId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center" vertical="center" wrapText="1"/>
    </xf>
    <xf numFmtId="0" fontId="18" fillId="0" borderId="27" xfId="1" applyFont="1" applyBorder="1" applyAlignment="1">
      <alignment horizontal="center" vertical="center" wrapText="1"/>
    </xf>
    <xf numFmtId="164" fontId="10" fillId="3" borderId="2" xfId="1" applyNumberFormat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 wrapText="1"/>
    </xf>
    <xf numFmtId="0" fontId="14" fillId="3" borderId="0" xfId="1" applyFont="1" applyFill="1" applyAlignment="1">
      <alignment horizontal="left" wrapText="1" indent="2"/>
    </xf>
    <xf numFmtId="164" fontId="10" fillId="3" borderId="0" xfId="1" applyNumberFormat="1" applyFont="1" applyFill="1" applyAlignment="1">
      <alignment horizontal="center" vertical="center"/>
    </xf>
    <xf numFmtId="166" fontId="10" fillId="3" borderId="2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0" fontId="39" fillId="4" borderId="0" xfId="1" applyFont="1" applyFill="1" applyAlignment="1">
      <alignment vertical="center"/>
    </xf>
    <xf numFmtId="0" fontId="40" fillId="4" borderId="0" xfId="1" applyFont="1" applyFill="1" applyAlignment="1">
      <alignment horizontal="center" vertical="center"/>
    </xf>
    <xf numFmtId="0" fontId="41" fillId="4" borderId="0" xfId="1" applyFont="1" applyFill="1" applyAlignment="1">
      <alignment horizontal="center" vertical="center"/>
    </xf>
    <xf numFmtId="164" fontId="39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4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6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7" fillId="0" borderId="29" xfId="0" applyFont="1" applyBorder="1" applyAlignment="1">
      <alignment horizontal="center"/>
    </xf>
    <xf numFmtId="0" fontId="47" fillId="0" borderId="0" xfId="0" applyFont="1"/>
    <xf numFmtId="168" fontId="0" fillId="7" borderId="0" xfId="3" applyNumberFormat="1" applyFont="1" applyFill="1" applyAlignment="1">
      <alignment horizontal="center"/>
    </xf>
    <xf numFmtId="0" fontId="7" fillId="4" borderId="0" xfId="1" applyFont="1" applyFill="1" applyAlignment="1">
      <alignment vertical="center"/>
    </xf>
    <xf numFmtId="164" fontId="39" fillId="4" borderId="25" xfId="1" applyNumberFormat="1" applyFont="1" applyFill="1" applyBorder="1" applyAlignment="1">
      <alignment horizontal="center" vertical="center"/>
    </xf>
    <xf numFmtId="164" fontId="42" fillId="4" borderId="25" xfId="1" applyNumberFormat="1" applyFont="1" applyFill="1" applyBorder="1" applyAlignment="1">
      <alignment horizontal="center" vertical="center"/>
    </xf>
    <xf numFmtId="169" fontId="42" fillId="4" borderId="28" xfId="1" applyNumberFormat="1" applyFont="1" applyFill="1" applyBorder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4" fontId="42" fillId="4" borderId="0" xfId="1" applyNumberFormat="1" applyFont="1" applyFill="1" applyAlignment="1">
      <alignment horizontal="center" vertical="center"/>
    </xf>
    <xf numFmtId="165" fontId="10" fillId="3" borderId="0" xfId="1" applyNumberFormat="1" applyFont="1" applyFill="1" applyAlignment="1">
      <alignment horizontal="center" vertical="center"/>
    </xf>
    <xf numFmtId="0" fontId="14" fillId="3" borderId="0" xfId="1" applyFont="1" applyFill="1" applyAlignment="1">
      <alignment horizontal="left"/>
    </xf>
    <xf numFmtId="0" fontId="10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8" fillId="7" borderId="0" xfId="0" applyNumberFormat="1" applyFont="1" applyFill="1" applyAlignment="1">
      <alignment horizontal="center"/>
    </xf>
    <xf numFmtId="0" fontId="18" fillId="0" borderId="0" xfId="0" applyFont="1" applyAlignment="1">
      <alignment horizontal="center"/>
    </xf>
    <xf numFmtId="167" fontId="18" fillId="0" borderId="0" xfId="0" applyNumberFormat="1" applyFont="1" applyAlignment="1">
      <alignment horizontal="center"/>
    </xf>
    <xf numFmtId="0" fontId="18" fillId="0" borderId="0" xfId="0" applyFont="1"/>
    <xf numFmtId="0" fontId="7" fillId="2" borderId="0" xfId="1" applyFont="1" applyFill="1" applyAlignment="1">
      <alignment horizontal="center" vertical="center"/>
    </xf>
    <xf numFmtId="0" fontId="53" fillId="0" borderId="28" xfId="0" applyFont="1" applyBorder="1" applyAlignment="1">
      <alignment horizontal="center"/>
    </xf>
    <xf numFmtId="0" fontId="54" fillId="8" borderId="30" xfId="0" applyFont="1" applyFill="1" applyBorder="1" applyAlignment="1">
      <alignment horizontal="center"/>
    </xf>
    <xf numFmtId="0" fontId="55" fillId="0" borderId="0" xfId="0" applyFont="1" applyAlignment="1">
      <alignment horizontal="center"/>
    </xf>
    <xf numFmtId="0" fontId="7" fillId="2" borderId="0" xfId="1" applyFont="1" applyFill="1" applyAlignment="1">
      <alignment horizontal="left" vertic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2" fillId="0" borderId="0" xfId="0" applyFont="1"/>
    <xf numFmtId="0" fontId="62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12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10" fillId="3" borderId="1" xfId="1" applyNumberFormat="1" applyFont="1" applyFill="1" applyBorder="1" applyAlignment="1">
      <alignment horizontal="center" vertical="center"/>
    </xf>
    <xf numFmtId="2" fontId="10" fillId="3" borderId="5" xfId="1" applyNumberFormat="1" applyFont="1" applyFill="1" applyBorder="1" applyAlignment="1">
      <alignment horizontal="center" vertical="center"/>
    </xf>
    <xf numFmtId="0" fontId="63" fillId="0" borderId="0" xfId="0" applyFont="1" applyAlignment="1">
      <alignment horizontal="left"/>
    </xf>
    <xf numFmtId="0" fontId="64" fillId="0" borderId="0" xfId="4" applyFont="1" applyAlignment="1">
      <alignment horizontal="center"/>
    </xf>
    <xf numFmtId="165" fontId="66" fillId="7" borderId="0" xfId="0" applyNumberFormat="1" applyFont="1" applyFill="1" applyAlignment="1">
      <alignment horizontal="center"/>
    </xf>
    <xf numFmtId="2" fontId="66" fillId="7" borderId="0" xfId="0" applyNumberFormat="1" applyFon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70" fontId="0" fillId="7" borderId="0" xfId="0" applyNumberFormat="1" applyFill="1" applyAlignment="1">
      <alignment horizontal="center"/>
    </xf>
    <xf numFmtId="0" fontId="64" fillId="0" borderId="0" xfId="32" applyFont="1" applyAlignment="1">
      <alignment horizontal="center"/>
    </xf>
    <xf numFmtId="0" fontId="17" fillId="5" borderId="10" xfId="1" applyFont="1" applyFill="1" applyBorder="1" applyAlignment="1">
      <alignment horizontal="center" vertical="center" wrapText="1"/>
    </xf>
    <xf numFmtId="0" fontId="17" fillId="5" borderId="0" xfId="1" applyFont="1" applyFill="1" applyAlignment="1">
      <alignment horizontal="center" vertical="center" wrapText="1"/>
    </xf>
    <xf numFmtId="0" fontId="17" fillId="5" borderId="9" xfId="1" applyFont="1" applyFill="1" applyBorder="1" applyAlignment="1">
      <alignment horizontal="center" vertical="center" wrapText="1"/>
    </xf>
    <xf numFmtId="0" fontId="28" fillId="2" borderId="0" xfId="1" applyFont="1" applyFill="1" applyAlignment="1">
      <alignment horizontal="left" vertical="top" wrapText="1"/>
    </xf>
    <xf numFmtId="0" fontId="28" fillId="2" borderId="0" xfId="1" applyFont="1" applyFill="1" applyAlignment="1">
      <alignment horizontal="left" vertical="top"/>
    </xf>
    <xf numFmtId="0" fontId="27" fillId="2" borderId="6" xfId="1" applyFont="1" applyFill="1" applyBorder="1" applyAlignment="1">
      <alignment horizontal="center"/>
    </xf>
    <xf numFmtId="0" fontId="25" fillId="2" borderId="22" xfId="1" applyFont="1" applyFill="1" applyBorder="1" applyAlignment="1">
      <alignment horizontal="left" vertical="center"/>
    </xf>
    <xf numFmtId="0" fontId="25" fillId="2" borderId="21" xfId="1" applyFont="1" applyFill="1" applyBorder="1" applyAlignment="1">
      <alignment horizontal="left" vertical="center"/>
    </xf>
    <xf numFmtId="0" fontId="25" fillId="2" borderId="20" xfId="1" applyFont="1" applyFill="1" applyBorder="1" applyAlignment="1">
      <alignment horizontal="left" vertical="center"/>
    </xf>
    <xf numFmtId="0" fontId="38" fillId="3" borderId="1" xfId="2" applyFont="1" applyFill="1" applyBorder="1" applyAlignment="1">
      <alignment horizontal="left" vertical="center"/>
    </xf>
    <xf numFmtId="14" fontId="12" fillId="3" borderId="1" xfId="2" applyNumberFormat="1" applyFont="1" applyFill="1" applyBorder="1" applyAlignment="1">
      <alignment horizontal="left" vertical="center" shrinkToFit="1"/>
    </xf>
    <xf numFmtId="0" fontId="12" fillId="3" borderId="1" xfId="2" applyFont="1" applyFill="1" applyBorder="1" applyAlignment="1">
      <alignment horizontal="left" vertical="center"/>
    </xf>
    <xf numFmtId="0" fontId="12" fillId="3" borderId="1" xfId="2" quotePrefix="1" applyFont="1" applyFill="1" applyBorder="1" applyAlignment="1">
      <alignment horizontal="left" vertical="center"/>
    </xf>
  </cellXfs>
  <cellStyles count="33">
    <cellStyle name="Normal" xfId="0" builtinId="0"/>
    <cellStyle name="Normal 2" xfId="1" xr:uid="{441ACF27-160B-4F68-B601-75E0F5333046}"/>
    <cellStyle name="Normal 2 2" xfId="29" xr:uid="{88233607-20D6-4F10-9F6E-C8AC9D0F7A5E}"/>
    <cellStyle name="Normal 2 3" xfId="17" xr:uid="{76D1D0E2-72A6-4572-A8E6-935A294189EC}"/>
    <cellStyle name="Normal 2 4" xfId="6" xr:uid="{D0DA8A8C-715A-424F-9D7B-D66332FDB478}"/>
    <cellStyle name="Normal 3" xfId="2" xr:uid="{E743A38D-16A7-497B-BF78-6D533003511F}"/>
    <cellStyle name="Normal 3 2" xfId="26" xr:uid="{3C14323A-62E4-4DAA-A6B1-8943234EE2CC}"/>
    <cellStyle name="Normal 3 3" xfId="11" xr:uid="{C594D0CA-859F-4CA9-9041-A111B256EB87}"/>
    <cellStyle name="Normal 3 4" xfId="7" xr:uid="{9C2A34C7-6E85-47A4-BE29-72585E80577E}"/>
    <cellStyle name="Normal 4" xfId="15" xr:uid="{69295DA4-E27D-492D-A6FB-74A285164515}"/>
    <cellStyle name="Normal 5" xfId="12" xr:uid="{3FC07A9F-ABC8-4807-ACB2-10BE21A31477}"/>
    <cellStyle name="Normal 5 2" xfId="27" xr:uid="{28C25B9C-344F-4614-8DE2-B17BE343C899}"/>
    <cellStyle name="Normal 6" xfId="20" xr:uid="{D54955BB-441A-4139-9239-0F7819CE2977}"/>
    <cellStyle name="Percent" xfId="3" builtinId="5"/>
    <cellStyle name="Percent 2" xfId="16" xr:uid="{239069C0-748A-4C21-A885-90201691E9E0}"/>
    <cellStyle name="Prozent 2" xfId="10" xr:uid="{DE79924B-9EA4-47F1-B2B8-357E2B2AF526}"/>
    <cellStyle name="Prozent 2 2" xfId="25" xr:uid="{06F86116-19B0-42B4-8AED-FCDC8F93BB92}"/>
    <cellStyle name="Prozent 3" xfId="14" xr:uid="{A24755D7-F38D-4C5C-A76D-11249B0A0604}"/>
    <cellStyle name="Prozent 4" xfId="23" xr:uid="{7FBA6E65-A38B-4BE4-B1F4-47A5621CEAF3}"/>
    <cellStyle name="Standard 2" xfId="4" xr:uid="{B02CA21A-3A09-4EBD-A388-4E5A2C25226E}"/>
    <cellStyle name="Standard 2 2" xfId="5" xr:uid="{45A6E877-D15B-4B40-966B-BBD3729A2ADC}"/>
    <cellStyle name="Standard 2 2 2" xfId="28" xr:uid="{E8C75847-EAE7-45B9-B68F-8A1DA8B767B8}"/>
    <cellStyle name="Standard 2 2 3" xfId="9" xr:uid="{6D818713-C438-4301-A271-C83D1B6B2E0A}"/>
    <cellStyle name="Standard 2 3" xfId="24" xr:uid="{10BDAFE9-E06D-43D2-9FC2-560B481A6675}"/>
    <cellStyle name="Standard 2 4" xfId="8" xr:uid="{C65C636F-83BF-4DA2-A4DB-DCF573DB2E15}"/>
    <cellStyle name="Standard 2 5" xfId="32" xr:uid="{5E155CB3-C8BD-46A9-A596-4E025C9F4367}"/>
    <cellStyle name="Standard 3" xfId="13" xr:uid="{87193632-E16B-4CF2-8CAB-6F0A9FD82EC9}"/>
    <cellStyle name="Standard 3 2" xfId="18" xr:uid="{BBEC8543-20C2-436B-BEF6-BD3F673C724B}"/>
    <cellStyle name="Standard 3 2 2" xfId="30" xr:uid="{218A215E-5CF0-461A-8993-910420B38DA4}"/>
    <cellStyle name="Standard 4" xfId="19" xr:uid="{12F1A160-19DF-407E-90D7-FD4D546422BC}"/>
    <cellStyle name="Standard 4 2" xfId="31" xr:uid="{9C9FE595-9A72-487C-ADDD-E7C3AA2C8825}"/>
    <cellStyle name="Standard 5" xfId="21" xr:uid="{93C922A1-FACF-4C5B-94AE-63B8C6ED15A9}"/>
    <cellStyle name="Standard 6" xfId="22" xr:uid="{E0A352D8-D5C4-4D9F-A98E-E3C48D932248}"/>
  </cellStyles>
  <dxfs count="2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-1457.4556089451889</c:v>
                </c:pt>
                <c:pt idx="1">
                  <c:v>-1430.8928709188615</c:v>
                </c:pt>
                <c:pt idx="2">
                  <c:v>-1404.3301328925338</c:v>
                </c:pt>
                <c:pt idx="3">
                  <c:v>-1377.7673948662064</c:v>
                </c:pt>
                <c:pt idx="4">
                  <c:v>-1351.2046568398789</c:v>
                </c:pt>
                <c:pt idx="5">
                  <c:v>-1324.6419188135512</c:v>
                </c:pt>
                <c:pt idx="6">
                  <c:v>-1298.0791807872238</c:v>
                </c:pt>
                <c:pt idx="7">
                  <c:v>-1271.5164427608963</c:v>
                </c:pt>
                <c:pt idx="8">
                  <c:v>-1244.9537047345686</c:v>
                </c:pt>
                <c:pt idx="9">
                  <c:v>-1218.3909667082412</c:v>
                </c:pt>
                <c:pt idx="10">
                  <c:v>-1191.8282286819135</c:v>
                </c:pt>
                <c:pt idx="11">
                  <c:v>-1165.2654906555861</c:v>
                </c:pt>
                <c:pt idx="12">
                  <c:v>-1138.7027526292586</c:v>
                </c:pt>
                <c:pt idx="13">
                  <c:v>-1112.1400146029309</c:v>
                </c:pt>
                <c:pt idx="14">
                  <c:v>-1085.5772765766035</c:v>
                </c:pt>
                <c:pt idx="15">
                  <c:v>-1059.0145385502758</c:v>
                </c:pt>
                <c:pt idx="16">
                  <c:v>-1032.4518005239484</c:v>
                </c:pt>
                <c:pt idx="17">
                  <c:v>-1005.8890624976209</c:v>
                </c:pt>
                <c:pt idx="18">
                  <c:v>-979.32632447129333</c:v>
                </c:pt>
                <c:pt idx="19">
                  <c:v>-952.76358644496577</c:v>
                </c:pt>
                <c:pt idx="20">
                  <c:v>-926.20084841863832</c:v>
                </c:pt>
                <c:pt idx="21">
                  <c:v>-899.63811039231075</c:v>
                </c:pt>
                <c:pt idx="22">
                  <c:v>-873.07537236598318</c:v>
                </c:pt>
                <c:pt idx="23">
                  <c:v>-846.51263433965562</c:v>
                </c:pt>
                <c:pt idx="24">
                  <c:v>-819.94989631332817</c:v>
                </c:pt>
                <c:pt idx="25">
                  <c:v>-793.3871582870006</c:v>
                </c:pt>
                <c:pt idx="26">
                  <c:v>-766.82442026067304</c:v>
                </c:pt>
                <c:pt idx="27">
                  <c:v>-740.26168223434559</c:v>
                </c:pt>
                <c:pt idx="28">
                  <c:v>-713.69894420801802</c:v>
                </c:pt>
                <c:pt idx="29">
                  <c:v>-687.13620618169045</c:v>
                </c:pt>
                <c:pt idx="30">
                  <c:v>-660.57346815536289</c:v>
                </c:pt>
                <c:pt idx="31">
                  <c:v>-634.01073012903544</c:v>
                </c:pt>
                <c:pt idx="32">
                  <c:v>-607.44799210270787</c:v>
                </c:pt>
                <c:pt idx="33">
                  <c:v>-580.88525407638031</c:v>
                </c:pt>
                <c:pt idx="34">
                  <c:v>-554.32251605005285</c:v>
                </c:pt>
                <c:pt idx="35">
                  <c:v>-527.75977802372529</c:v>
                </c:pt>
                <c:pt idx="36">
                  <c:v>-501.19703999739767</c:v>
                </c:pt>
                <c:pt idx="37">
                  <c:v>-474.6343019710701</c:v>
                </c:pt>
                <c:pt idx="38">
                  <c:v>-448.07156394474265</c:v>
                </c:pt>
                <c:pt idx="39">
                  <c:v>-421.50882591841508</c:v>
                </c:pt>
                <c:pt idx="40">
                  <c:v>-394.94608789208763</c:v>
                </c:pt>
                <c:pt idx="41">
                  <c:v>-368.38334986575995</c:v>
                </c:pt>
                <c:pt idx="42">
                  <c:v>-341.8206118394325</c:v>
                </c:pt>
                <c:pt idx="43">
                  <c:v>-315.25787381310505</c:v>
                </c:pt>
                <c:pt idx="44">
                  <c:v>-288.69513578677737</c:v>
                </c:pt>
                <c:pt idx="45">
                  <c:v>-262.13239776044992</c:v>
                </c:pt>
                <c:pt idx="46">
                  <c:v>-235.56965973412221</c:v>
                </c:pt>
                <c:pt idx="47">
                  <c:v>-209.00692170779476</c:v>
                </c:pt>
                <c:pt idx="48">
                  <c:v>-182.44418368146731</c:v>
                </c:pt>
                <c:pt idx="49">
                  <c:v>-155.88144565513963</c:v>
                </c:pt>
                <c:pt idx="50">
                  <c:v>-129.31870762881218</c:v>
                </c:pt>
                <c:pt idx="51">
                  <c:v>-102.75596960248473</c:v>
                </c:pt>
                <c:pt idx="52">
                  <c:v>-76.193231576157032</c:v>
                </c:pt>
                <c:pt idx="53">
                  <c:v>-49.630493549829581</c:v>
                </c:pt>
                <c:pt idx="54">
                  <c:v>-23.067755523502129</c:v>
                </c:pt>
                <c:pt idx="55">
                  <c:v>3.4949825028255583</c:v>
                </c:pt>
                <c:pt idx="56">
                  <c:v>30.057720529153013</c:v>
                </c:pt>
                <c:pt idx="57">
                  <c:v>56.620458555480468</c:v>
                </c:pt>
                <c:pt idx="58">
                  <c:v>83.183196581808147</c:v>
                </c:pt>
                <c:pt idx="59">
                  <c:v>109.7459346081356</c:v>
                </c:pt>
                <c:pt idx="60">
                  <c:v>136.30867263446328</c:v>
                </c:pt>
                <c:pt idx="61">
                  <c:v>162.87141066079076</c:v>
                </c:pt>
                <c:pt idx="62">
                  <c:v>189.43414868711821</c:v>
                </c:pt>
                <c:pt idx="63">
                  <c:v>215.99688671344589</c:v>
                </c:pt>
                <c:pt idx="64">
                  <c:v>242.55962473977334</c:v>
                </c:pt>
                <c:pt idx="65">
                  <c:v>269.12236276610076</c:v>
                </c:pt>
                <c:pt idx="66">
                  <c:v>295.6851007924285</c:v>
                </c:pt>
                <c:pt idx="67">
                  <c:v>322.24783881875595</c:v>
                </c:pt>
                <c:pt idx="68">
                  <c:v>348.8105768450834</c:v>
                </c:pt>
                <c:pt idx="69">
                  <c:v>375.37331487141108</c:v>
                </c:pt>
                <c:pt idx="70">
                  <c:v>401.93605289773853</c:v>
                </c:pt>
                <c:pt idx="71">
                  <c:v>428.49879092406621</c:v>
                </c:pt>
                <c:pt idx="72">
                  <c:v>455.06152895039367</c:v>
                </c:pt>
                <c:pt idx="73">
                  <c:v>481.62426697672112</c:v>
                </c:pt>
                <c:pt idx="74">
                  <c:v>508.1870050030488</c:v>
                </c:pt>
                <c:pt idx="75">
                  <c:v>534.7497430293763</c:v>
                </c:pt>
                <c:pt idx="76">
                  <c:v>561.31248105570376</c:v>
                </c:pt>
                <c:pt idx="77">
                  <c:v>587.87521908203144</c:v>
                </c:pt>
                <c:pt idx="78">
                  <c:v>614.43795710835889</c:v>
                </c:pt>
                <c:pt idx="79">
                  <c:v>641.00069513468634</c:v>
                </c:pt>
                <c:pt idx="80">
                  <c:v>667.56343316101379</c:v>
                </c:pt>
                <c:pt idx="81">
                  <c:v>694.1261711873417</c:v>
                </c:pt>
                <c:pt idx="82">
                  <c:v>720.68890921366915</c:v>
                </c:pt>
                <c:pt idx="83">
                  <c:v>747.2516472399966</c:v>
                </c:pt>
                <c:pt idx="84">
                  <c:v>773.81438526632405</c:v>
                </c:pt>
                <c:pt idx="85">
                  <c:v>800.3771232926515</c:v>
                </c:pt>
                <c:pt idx="86">
                  <c:v>826.93986131897896</c:v>
                </c:pt>
                <c:pt idx="87">
                  <c:v>853.50259934530686</c:v>
                </c:pt>
                <c:pt idx="88">
                  <c:v>880.06533737163431</c:v>
                </c:pt>
                <c:pt idx="89">
                  <c:v>906.62807539796177</c:v>
                </c:pt>
                <c:pt idx="90">
                  <c:v>933.19081342428922</c:v>
                </c:pt>
                <c:pt idx="91">
                  <c:v>959.75355145061667</c:v>
                </c:pt>
                <c:pt idx="92">
                  <c:v>986.31628947694458</c:v>
                </c:pt>
                <c:pt idx="93">
                  <c:v>1012.879027503272</c:v>
                </c:pt>
                <c:pt idx="94">
                  <c:v>1039.4417655295995</c:v>
                </c:pt>
                <c:pt idx="95">
                  <c:v>1066.0045035559269</c:v>
                </c:pt>
                <c:pt idx="96">
                  <c:v>1092.5672415822544</c:v>
                </c:pt>
                <c:pt idx="97">
                  <c:v>1119.1299796085818</c:v>
                </c:pt>
                <c:pt idx="98">
                  <c:v>1145.6927176349097</c:v>
                </c:pt>
                <c:pt idx="99">
                  <c:v>1172.2554556612374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-122.39860063465406</c:v>
                </c:pt>
                <c:pt idx="1">
                  <c:v>-122.39860063465406</c:v>
                </c:pt>
                <c:pt idx="2">
                  <c:v>-122.39860063465406</c:v>
                </c:pt>
                <c:pt idx="3">
                  <c:v>-122.39176811714873</c:v>
                </c:pt>
                <c:pt idx="4">
                  <c:v>-122.31090875721868</c:v>
                </c:pt>
                <c:pt idx="5">
                  <c:v>-122.13891128405915</c:v>
                </c:pt>
                <c:pt idx="6">
                  <c:v>-121.87577569767011</c:v>
                </c:pt>
                <c:pt idx="7">
                  <c:v>-121.52150199805158</c:v>
                </c:pt>
                <c:pt idx="8">
                  <c:v>-121.07609018520354</c:v>
                </c:pt>
                <c:pt idx="9">
                  <c:v>-120.53954025912601</c:v>
                </c:pt>
                <c:pt idx="10">
                  <c:v>-119.91185221981898</c:v>
                </c:pt>
                <c:pt idx="11">
                  <c:v>-119.19302606728247</c:v>
                </c:pt>
                <c:pt idx="12">
                  <c:v>-118.38306180151645</c:v>
                </c:pt>
                <c:pt idx="13">
                  <c:v>-117.48195942252093</c:v>
                </c:pt>
                <c:pt idx="14">
                  <c:v>-116.48971893029592</c:v>
                </c:pt>
                <c:pt idx="15">
                  <c:v>-115.40634032484139</c:v>
                </c:pt>
                <c:pt idx="16">
                  <c:v>-114.23182360615739</c:v>
                </c:pt>
                <c:pt idx="17">
                  <c:v>-112.9661687742439</c:v>
                </c:pt>
                <c:pt idx="18">
                  <c:v>-111.60937582910088</c:v>
                </c:pt>
                <c:pt idx="19">
                  <c:v>-110.16144477072838</c:v>
                </c:pt>
                <c:pt idx="20">
                  <c:v>-108.62237559912639</c:v>
                </c:pt>
                <c:pt idx="21">
                  <c:v>-106.9921683142949</c:v>
                </c:pt>
                <c:pt idx="22">
                  <c:v>-105.27082291623391</c:v>
                </c:pt>
                <c:pt idx="23">
                  <c:v>-103.45833940494339</c:v>
                </c:pt>
                <c:pt idx="24">
                  <c:v>-101.55471778042342</c:v>
                </c:pt>
                <c:pt idx="25">
                  <c:v>-99.559958042673912</c:v>
                </c:pt>
                <c:pt idx="26">
                  <c:v>-97.474060191694932</c:v>
                </c:pt>
                <c:pt idx="27">
                  <c:v>-95.297024227486475</c:v>
                </c:pt>
                <c:pt idx="28">
                  <c:v>-93.028850150048498</c:v>
                </c:pt>
                <c:pt idx="29">
                  <c:v>-90.669537959381003</c:v>
                </c:pt>
                <c:pt idx="30">
                  <c:v>-88.219087655484032</c:v>
                </c:pt>
                <c:pt idx="31">
                  <c:v>-85.677499238357569</c:v>
                </c:pt>
                <c:pt idx="32">
                  <c:v>-83.044772708001602</c:v>
                </c:pt>
                <c:pt idx="33">
                  <c:v>-80.32090806441613</c:v>
                </c:pt>
                <c:pt idx="34">
                  <c:v>-77.505905307601196</c:v>
                </c:pt>
                <c:pt idx="35">
                  <c:v>-74.599764437556715</c:v>
                </c:pt>
                <c:pt idx="36">
                  <c:v>-71.602485454282757</c:v>
                </c:pt>
                <c:pt idx="37">
                  <c:v>-68.514068357779308</c:v>
                </c:pt>
                <c:pt idx="38">
                  <c:v>-65.334513148046355</c:v>
                </c:pt>
                <c:pt idx="39">
                  <c:v>-62.063819825083911</c:v>
                </c:pt>
                <c:pt idx="40">
                  <c:v>-58.701988388891976</c:v>
                </c:pt>
                <c:pt idx="41">
                  <c:v>-55.249018839470509</c:v>
                </c:pt>
                <c:pt idx="42">
                  <c:v>-51.704911176819579</c:v>
                </c:pt>
                <c:pt idx="43">
                  <c:v>-48.069665400939144</c:v>
                </c:pt>
                <c:pt idx="44">
                  <c:v>-44.34328151182919</c:v>
                </c:pt>
                <c:pt idx="45">
                  <c:v>-40.525759509489774</c:v>
                </c:pt>
                <c:pt idx="46">
                  <c:v>-36.617099393920817</c:v>
                </c:pt>
                <c:pt idx="47">
                  <c:v>-32.617301165122406</c:v>
                </c:pt>
                <c:pt idx="48">
                  <c:v>-28.526364823094493</c:v>
                </c:pt>
                <c:pt idx="49">
                  <c:v>-24.344290367837047</c:v>
                </c:pt>
                <c:pt idx="50">
                  <c:v>-20.071077799350139</c:v>
                </c:pt>
                <c:pt idx="51">
                  <c:v>-15.706727117633736</c:v>
                </c:pt>
                <c:pt idx="52">
                  <c:v>-11.249638924604351</c:v>
                </c:pt>
                <c:pt idx="53">
                  <c:v>-6.6450670064361299</c:v>
                </c:pt>
                <c:pt idx="54">
                  <c:v>-1.8661047747766748</c:v>
                </c:pt>
                <c:pt idx="55">
                  <c:v>3.0872477703740615</c:v>
                </c:pt>
                <c:pt idx="56">
                  <c:v>8.2149906290159898</c:v>
                </c:pt>
                <c:pt idx="57">
                  <c:v>13.517123801149154</c:v>
                </c:pt>
                <c:pt idx="58">
                  <c:v>18.993647286773609</c:v>
                </c:pt>
                <c:pt idx="59">
                  <c:v>24.644561085889244</c:v>
                </c:pt>
                <c:pt idx="60">
                  <c:v>30.469865198496173</c:v>
                </c:pt>
                <c:pt idx="61">
                  <c:v>36.469559624594282</c:v>
                </c:pt>
                <c:pt idx="62">
                  <c:v>42.643644364183629</c:v>
                </c:pt>
                <c:pt idx="63">
                  <c:v>48.992119417264277</c:v>
                </c:pt>
                <c:pt idx="64">
                  <c:v>55.514984783836091</c:v>
                </c:pt>
                <c:pt idx="65">
                  <c:v>62.212240463899157</c:v>
                </c:pt>
                <c:pt idx="66">
                  <c:v>69.083886457453502</c:v>
                </c:pt>
                <c:pt idx="67">
                  <c:v>76.129922764499042</c:v>
                </c:pt>
                <c:pt idx="68">
                  <c:v>83.350349385035813</c:v>
                </c:pt>
                <c:pt idx="69">
                  <c:v>90.745166319063884</c:v>
                </c:pt>
                <c:pt idx="70">
                  <c:v>98.314373566583129</c:v>
                </c:pt>
                <c:pt idx="71">
                  <c:v>106.05797112759367</c:v>
                </c:pt>
                <c:pt idx="72">
                  <c:v>113.97595900209539</c:v>
                </c:pt>
                <c:pt idx="73">
                  <c:v>122.06833719008834</c:v>
                </c:pt>
                <c:pt idx="74">
                  <c:v>130.33510569157261</c:v>
                </c:pt>
                <c:pt idx="75">
                  <c:v>138.77626450654802</c:v>
                </c:pt>
                <c:pt idx="76">
                  <c:v>147.3918136350147</c:v>
                </c:pt>
                <c:pt idx="77">
                  <c:v>156.18175307697265</c:v>
                </c:pt>
                <c:pt idx="78">
                  <c:v>165.1460828324218</c:v>
                </c:pt>
                <c:pt idx="79">
                  <c:v>174.28480290136218</c:v>
                </c:pt>
                <c:pt idx="80">
                  <c:v>183.59791328379379</c:v>
                </c:pt>
                <c:pt idx="81">
                  <c:v>193.08541397971683</c:v>
                </c:pt>
                <c:pt idx="82">
                  <c:v>202.7473049891309</c:v>
                </c:pt>
                <c:pt idx="83">
                  <c:v>212.5835863120362</c:v>
                </c:pt>
                <c:pt idx="84">
                  <c:v>222.59425794843276</c:v>
                </c:pt>
                <c:pt idx="85">
                  <c:v>232.77931989832052</c:v>
                </c:pt>
                <c:pt idx="86">
                  <c:v>243.13877216169959</c:v>
                </c:pt>
                <c:pt idx="87">
                  <c:v>253.67261473857002</c:v>
                </c:pt>
                <c:pt idx="88">
                  <c:v>264.38084762893158</c:v>
                </c:pt>
                <c:pt idx="89">
                  <c:v>275.26347083278432</c:v>
                </c:pt>
                <c:pt idx="90">
                  <c:v>286.32048435012825</c:v>
                </c:pt>
                <c:pt idx="91">
                  <c:v>297.55188818096343</c:v>
                </c:pt>
                <c:pt idx="92">
                  <c:v>308.95768232529014</c:v>
                </c:pt>
                <c:pt idx="93">
                  <c:v>320.5378667831078</c:v>
                </c:pt>
                <c:pt idx="94">
                  <c:v>332.29244155441671</c:v>
                </c:pt>
                <c:pt idx="95">
                  <c:v>344.22140663921692</c:v>
                </c:pt>
                <c:pt idx="96">
                  <c:v>356.32476203750826</c:v>
                </c:pt>
                <c:pt idx="97">
                  <c:v>368.60250774929091</c:v>
                </c:pt>
                <c:pt idx="98">
                  <c:v>381.05464377456502</c:v>
                </c:pt>
                <c:pt idx="99">
                  <c:v>393.68117011333021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-1457.4556089451889</c:v>
                </c:pt>
                <c:pt idx="1">
                  <c:v>-1430.8928709188615</c:v>
                </c:pt>
                <c:pt idx="2">
                  <c:v>-1404.3301328925338</c:v>
                </c:pt>
                <c:pt idx="3">
                  <c:v>-1377.7673948662064</c:v>
                </c:pt>
                <c:pt idx="4">
                  <c:v>-1351.2046568398789</c:v>
                </c:pt>
                <c:pt idx="5">
                  <c:v>-1324.6419188135512</c:v>
                </c:pt>
                <c:pt idx="6">
                  <c:v>-1298.0791807872238</c:v>
                </c:pt>
                <c:pt idx="7">
                  <c:v>-1271.5164427608963</c:v>
                </c:pt>
                <c:pt idx="8">
                  <c:v>-1244.9537047345686</c:v>
                </c:pt>
                <c:pt idx="9">
                  <c:v>-1218.3909667082412</c:v>
                </c:pt>
                <c:pt idx="10">
                  <c:v>-1191.8282286819135</c:v>
                </c:pt>
                <c:pt idx="11">
                  <c:v>-1165.2654906555861</c:v>
                </c:pt>
                <c:pt idx="12">
                  <c:v>-1138.7027526292586</c:v>
                </c:pt>
                <c:pt idx="13">
                  <c:v>-1112.1400146029309</c:v>
                </c:pt>
                <c:pt idx="14">
                  <c:v>-1085.5772765766035</c:v>
                </c:pt>
                <c:pt idx="15">
                  <c:v>-1059.0145385502758</c:v>
                </c:pt>
                <c:pt idx="16">
                  <c:v>-1032.4518005239484</c:v>
                </c:pt>
                <c:pt idx="17">
                  <c:v>-1005.8890624976209</c:v>
                </c:pt>
                <c:pt idx="18">
                  <c:v>-979.32632447129333</c:v>
                </c:pt>
                <c:pt idx="19">
                  <c:v>-952.76358644496577</c:v>
                </c:pt>
                <c:pt idx="20">
                  <c:v>-926.20084841863832</c:v>
                </c:pt>
                <c:pt idx="21">
                  <c:v>-899.63811039231075</c:v>
                </c:pt>
                <c:pt idx="22">
                  <c:v>-873.07537236598318</c:v>
                </c:pt>
                <c:pt idx="23">
                  <c:v>-846.51263433965562</c:v>
                </c:pt>
                <c:pt idx="24">
                  <c:v>-819.94989631332817</c:v>
                </c:pt>
                <c:pt idx="25">
                  <c:v>-793.3871582870006</c:v>
                </c:pt>
                <c:pt idx="26">
                  <c:v>-766.82442026067304</c:v>
                </c:pt>
                <c:pt idx="27">
                  <c:v>-740.26168223434559</c:v>
                </c:pt>
                <c:pt idx="28">
                  <c:v>-713.69894420801802</c:v>
                </c:pt>
                <c:pt idx="29">
                  <c:v>-687.13620618169045</c:v>
                </c:pt>
                <c:pt idx="30">
                  <c:v>-660.57346815536289</c:v>
                </c:pt>
                <c:pt idx="31">
                  <c:v>-634.01073012903544</c:v>
                </c:pt>
                <c:pt idx="32">
                  <c:v>-607.44799210270787</c:v>
                </c:pt>
                <c:pt idx="33">
                  <c:v>-580.88525407638031</c:v>
                </c:pt>
                <c:pt idx="34">
                  <c:v>-554.32251605005285</c:v>
                </c:pt>
                <c:pt idx="35">
                  <c:v>-527.75977802372529</c:v>
                </c:pt>
                <c:pt idx="36">
                  <c:v>-501.19703999739767</c:v>
                </c:pt>
                <c:pt idx="37">
                  <c:v>-474.6343019710701</c:v>
                </c:pt>
                <c:pt idx="38">
                  <c:v>-448.07156394474265</c:v>
                </c:pt>
                <c:pt idx="39">
                  <c:v>-421.50882591841508</c:v>
                </c:pt>
                <c:pt idx="40">
                  <c:v>-394.94608789208763</c:v>
                </c:pt>
                <c:pt idx="41">
                  <c:v>-368.38334986575995</c:v>
                </c:pt>
                <c:pt idx="42">
                  <c:v>-341.8206118394325</c:v>
                </c:pt>
                <c:pt idx="43">
                  <c:v>-315.25787381310505</c:v>
                </c:pt>
                <c:pt idx="44">
                  <c:v>-288.69513578677737</c:v>
                </c:pt>
                <c:pt idx="45">
                  <c:v>-262.13239776044992</c:v>
                </c:pt>
                <c:pt idx="46">
                  <c:v>-235.56965973412221</c:v>
                </c:pt>
                <c:pt idx="47">
                  <c:v>-209.00692170779476</c:v>
                </c:pt>
                <c:pt idx="48">
                  <c:v>-182.44418368146731</c:v>
                </c:pt>
                <c:pt idx="49">
                  <c:v>-155.88144565513963</c:v>
                </c:pt>
                <c:pt idx="50">
                  <c:v>-129.31870762881218</c:v>
                </c:pt>
                <c:pt idx="51">
                  <c:v>-102.75596960248473</c:v>
                </c:pt>
                <c:pt idx="52">
                  <c:v>-76.193231576157032</c:v>
                </c:pt>
                <c:pt idx="53">
                  <c:v>-49.630493549829581</c:v>
                </c:pt>
                <c:pt idx="54">
                  <c:v>-23.067755523502129</c:v>
                </c:pt>
                <c:pt idx="55">
                  <c:v>3.4949825028255583</c:v>
                </c:pt>
                <c:pt idx="56">
                  <c:v>30.057720529153013</c:v>
                </c:pt>
                <c:pt idx="57">
                  <c:v>56.620458555480468</c:v>
                </c:pt>
                <c:pt idx="58">
                  <c:v>83.183196581808147</c:v>
                </c:pt>
                <c:pt idx="59">
                  <c:v>109.7459346081356</c:v>
                </c:pt>
                <c:pt idx="60">
                  <c:v>136.30867263446328</c:v>
                </c:pt>
                <c:pt idx="61">
                  <c:v>162.87141066079076</c:v>
                </c:pt>
                <c:pt idx="62">
                  <c:v>189.43414868711821</c:v>
                </c:pt>
                <c:pt idx="63">
                  <c:v>215.99688671344589</c:v>
                </c:pt>
                <c:pt idx="64">
                  <c:v>242.55962473977334</c:v>
                </c:pt>
                <c:pt idx="65">
                  <c:v>269.12236276610076</c:v>
                </c:pt>
                <c:pt idx="66">
                  <c:v>295.6851007924285</c:v>
                </c:pt>
                <c:pt idx="67">
                  <c:v>322.24783881875595</c:v>
                </c:pt>
                <c:pt idx="68">
                  <c:v>348.8105768450834</c:v>
                </c:pt>
                <c:pt idx="69">
                  <c:v>375.37331487141108</c:v>
                </c:pt>
                <c:pt idx="70">
                  <c:v>401.93605289773853</c:v>
                </c:pt>
                <c:pt idx="71">
                  <c:v>428.49879092406621</c:v>
                </c:pt>
                <c:pt idx="72">
                  <c:v>455.06152895039367</c:v>
                </c:pt>
                <c:pt idx="73">
                  <c:v>481.62426697672112</c:v>
                </c:pt>
                <c:pt idx="74">
                  <c:v>508.1870050030488</c:v>
                </c:pt>
                <c:pt idx="75">
                  <c:v>534.7497430293763</c:v>
                </c:pt>
                <c:pt idx="76">
                  <c:v>561.31248105570376</c:v>
                </c:pt>
                <c:pt idx="77">
                  <c:v>587.87521908203144</c:v>
                </c:pt>
                <c:pt idx="78">
                  <c:v>614.43795710835889</c:v>
                </c:pt>
                <c:pt idx="79">
                  <c:v>641.00069513468634</c:v>
                </c:pt>
                <c:pt idx="80">
                  <c:v>667.56343316101379</c:v>
                </c:pt>
                <c:pt idx="81">
                  <c:v>694.1261711873417</c:v>
                </c:pt>
                <c:pt idx="82">
                  <c:v>720.68890921366915</c:v>
                </c:pt>
                <c:pt idx="83">
                  <c:v>747.2516472399966</c:v>
                </c:pt>
                <c:pt idx="84">
                  <c:v>773.81438526632405</c:v>
                </c:pt>
                <c:pt idx="85">
                  <c:v>800.3771232926515</c:v>
                </c:pt>
                <c:pt idx="86">
                  <c:v>826.93986131897896</c:v>
                </c:pt>
                <c:pt idx="87">
                  <c:v>853.50259934530686</c:v>
                </c:pt>
                <c:pt idx="88">
                  <c:v>880.06533737163431</c:v>
                </c:pt>
                <c:pt idx="89">
                  <c:v>906.62807539796177</c:v>
                </c:pt>
                <c:pt idx="90">
                  <c:v>933.19081342428922</c:v>
                </c:pt>
                <c:pt idx="91">
                  <c:v>959.75355145061667</c:v>
                </c:pt>
                <c:pt idx="92">
                  <c:v>986.31628947694458</c:v>
                </c:pt>
                <c:pt idx="93">
                  <c:v>1012.879027503272</c:v>
                </c:pt>
                <c:pt idx="94">
                  <c:v>1039.4417655295995</c:v>
                </c:pt>
                <c:pt idx="95">
                  <c:v>1066.0045035559269</c:v>
                </c:pt>
                <c:pt idx="96">
                  <c:v>1092.5672415822544</c:v>
                </c:pt>
                <c:pt idx="97">
                  <c:v>1119.1299796085818</c:v>
                </c:pt>
                <c:pt idx="98">
                  <c:v>1145.6927176349097</c:v>
                </c:pt>
                <c:pt idx="99">
                  <c:v>1172.2554556612374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890.196620196602</c:v>
                </c:pt>
                <c:pt idx="1">
                  <c:v>890.196620196602</c:v>
                </c:pt>
                <c:pt idx="2">
                  <c:v>890.196620196602</c:v>
                </c:pt>
                <c:pt idx="3">
                  <c:v>890.19896262599616</c:v>
                </c:pt>
                <c:pt idx="4">
                  <c:v>890.2266840831827</c:v>
                </c:pt>
                <c:pt idx="5">
                  <c:v>890.28565091884036</c:v>
                </c:pt>
                <c:pt idx="6">
                  <c:v>890.37586313296902</c:v>
                </c:pt>
                <c:pt idx="7">
                  <c:v>890.49732072556878</c:v>
                </c:pt>
                <c:pt idx="8">
                  <c:v>890.65002369663966</c:v>
                </c:pt>
                <c:pt idx="9">
                  <c:v>890.83397204618166</c:v>
                </c:pt>
                <c:pt idx="10">
                  <c:v>891.04916577419488</c:v>
                </c:pt>
                <c:pt idx="11">
                  <c:v>891.29560488067909</c:v>
                </c:pt>
                <c:pt idx="12">
                  <c:v>891.57328936563442</c:v>
                </c:pt>
                <c:pt idx="13">
                  <c:v>891.88221922906098</c:v>
                </c:pt>
                <c:pt idx="14">
                  <c:v>892.22239447095853</c:v>
                </c:pt>
                <c:pt idx="15">
                  <c:v>892.5938150913272</c:v>
                </c:pt>
                <c:pt idx="16">
                  <c:v>892.99648109016698</c:v>
                </c:pt>
                <c:pt idx="17">
                  <c:v>893.43039246747799</c:v>
                </c:pt>
                <c:pt idx="18">
                  <c:v>893.89554922325988</c:v>
                </c:pt>
                <c:pt idx="19">
                  <c:v>894.39195135751311</c:v>
                </c:pt>
                <c:pt idx="20">
                  <c:v>894.91959887023734</c:v>
                </c:pt>
                <c:pt idx="21">
                  <c:v>895.47849176143268</c:v>
                </c:pt>
                <c:pt idx="22">
                  <c:v>896.06863003109925</c:v>
                </c:pt>
                <c:pt idx="23">
                  <c:v>896.6900136792367</c:v>
                </c:pt>
                <c:pt idx="24">
                  <c:v>897.34264270584538</c:v>
                </c:pt>
                <c:pt idx="25">
                  <c:v>898.02651711092528</c:v>
                </c:pt>
                <c:pt idx="26">
                  <c:v>898.7416368944763</c:v>
                </c:pt>
                <c:pt idx="27">
                  <c:v>899.48800205649832</c:v>
                </c:pt>
                <c:pt idx="28">
                  <c:v>900.26561259699145</c:v>
                </c:pt>
                <c:pt idx="29">
                  <c:v>901.07446851595569</c:v>
                </c:pt>
                <c:pt idx="30">
                  <c:v>901.91456981339104</c:v>
                </c:pt>
                <c:pt idx="31">
                  <c:v>902.78591648929751</c:v>
                </c:pt>
                <c:pt idx="32">
                  <c:v>903.6885085436752</c:v>
                </c:pt>
                <c:pt idx="33">
                  <c:v>904.62234597652389</c:v>
                </c:pt>
                <c:pt idx="34">
                  <c:v>905.58742878784369</c:v>
                </c:pt>
                <c:pt idx="35">
                  <c:v>906.58375697763461</c:v>
                </c:pt>
                <c:pt idx="36">
                  <c:v>907.61133054589664</c:v>
                </c:pt>
                <c:pt idx="37">
                  <c:v>908.67014949262989</c:v>
                </c:pt>
                <c:pt idx="38">
                  <c:v>909.76021381783414</c:v>
                </c:pt>
                <c:pt idx="39">
                  <c:v>910.88152352150962</c:v>
                </c:pt>
                <c:pt idx="40">
                  <c:v>912.03407860365598</c:v>
                </c:pt>
                <c:pt idx="41">
                  <c:v>913.21787906427369</c:v>
                </c:pt>
                <c:pt idx="42">
                  <c:v>914.43292490336239</c:v>
                </c:pt>
                <c:pt idx="43">
                  <c:v>915.67921612092221</c:v>
                </c:pt>
                <c:pt idx="44">
                  <c:v>916.95675271695313</c:v>
                </c:pt>
                <c:pt idx="45">
                  <c:v>918.26553469145529</c:v>
                </c:pt>
                <c:pt idx="46">
                  <c:v>919.60556204442844</c:v>
                </c:pt>
                <c:pt idx="47">
                  <c:v>920.97683477587282</c:v>
                </c:pt>
                <c:pt idx="48">
                  <c:v>922.37935288578819</c:v>
                </c:pt>
                <c:pt idx="49">
                  <c:v>923.81311637417468</c:v>
                </c:pt>
                <c:pt idx="50">
                  <c:v>925.27812524103228</c:v>
                </c:pt>
                <c:pt idx="51">
                  <c:v>926.774379486361</c:v>
                </c:pt>
                <c:pt idx="52">
                  <c:v>928.30435284003192</c:v>
                </c:pt>
                <c:pt idx="53">
                  <c:v>929.95271924649774</c:v>
                </c:pt>
                <c:pt idx="54">
                  <c:v>931.76109413097822</c:v>
                </c:pt>
                <c:pt idx="55">
                  <c:v>933.72947749347338</c:v>
                </c:pt>
                <c:pt idx="56">
                  <c:v>935.85786933398333</c:v>
                </c:pt>
                <c:pt idx="57">
                  <c:v>938.14626965250784</c:v>
                </c:pt>
                <c:pt idx="58">
                  <c:v>940.59467844904725</c:v>
                </c:pt>
                <c:pt idx="59">
                  <c:v>943.20309572360134</c:v>
                </c:pt>
                <c:pt idx="60">
                  <c:v>945.97152147617021</c:v>
                </c:pt>
                <c:pt idx="61">
                  <c:v>948.89995570675364</c:v>
                </c:pt>
                <c:pt idx="62">
                  <c:v>951.98839841535187</c:v>
                </c:pt>
                <c:pt idx="63">
                  <c:v>955.23684960196476</c:v>
                </c:pt>
                <c:pt idx="64">
                  <c:v>958.64530926659245</c:v>
                </c:pt>
                <c:pt idx="65">
                  <c:v>962.21377740923492</c:v>
                </c:pt>
                <c:pt idx="66">
                  <c:v>965.94225402989207</c:v>
                </c:pt>
                <c:pt idx="67">
                  <c:v>969.83073912856389</c:v>
                </c:pt>
                <c:pt idx="68">
                  <c:v>973.8792327052505</c:v>
                </c:pt>
                <c:pt idx="69">
                  <c:v>978.08773475995179</c:v>
                </c:pt>
                <c:pt idx="70">
                  <c:v>982.45624529266775</c:v>
                </c:pt>
                <c:pt idx="71">
                  <c:v>986.98476430339861</c:v>
                </c:pt>
                <c:pt idx="72">
                  <c:v>991.67329179214403</c:v>
                </c:pt>
                <c:pt idx="73">
                  <c:v>996.52182775890424</c:v>
                </c:pt>
                <c:pt idx="74">
                  <c:v>1001.5303722036791</c:v>
                </c:pt>
                <c:pt idx="75">
                  <c:v>1006.6989251264688</c:v>
                </c:pt>
                <c:pt idx="76">
                  <c:v>1012.027486527273</c:v>
                </c:pt>
                <c:pt idx="77">
                  <c:v>1017.5160564060922</c:v>
                </c:pt>
                <c:pt idx="78">
                  <c:v>1023.164634762926</c:v>
                </c:pt>
                <c:pt idx="79">
                  <c:v>1028.9732215977745</c:v>
                </c:pt>
                <c:pt idx="80">
                  <c:v>1034.9418169106377</c:v>
                </c:pt>
                <c:pt idx="81">
                  <c:v>1041.0704207015158</c:v>
                </c:pt>
                <c:pt idx="82">
                  <c:v>1047.3590329704084</c:v>
                </c:pt>
                <c:pt idx="83">
                  <c:v>1053.8076537173158</c:v>
                </c:pt>
                <c:pt idx="84">
                  <c:v>1060.416282942238</c:v>
                </c:pt>
                <c:pt idx="85">
                  <c:v>1067.1849206451748</c:v>
                </c:pt>
                <c:pt idx="86">
                  <c:v>1074.1135668261263</c:v>
                </c:pt>
                <c:pt idx="87">
                  <c:v>1081.2022214850929</c:v>
                </c:pt>
                <c:pt idx="88">
                  <c:v>1088.4508846220738</c:v>
                </c:pt>
                <c:pt idx="89">
                  <c:v>1095.8595562370695</c:v>
                </c:pt>
                <c:pt idx="90">
                  <c:v>1103.4282363300799</c:v>
                </c:pt>
                <c:pt idx="91">
                  <c:v>1111.1569249011052</c:v>
                </c:pt>
                <c:pt idx="92">
                  <c:v>1119.045621950145</c:v>
                </c:pt>
                <c:pt idx="93">
                  <c:v>1127.0943274771996</c:v>
                </c:pt>
                <c:pt idx="94">
                  <c:v>1135.303041482269</c:v>
                </c:pt>
                <c:pt idx="95">
                  <c:v>1143.6717639653532</c:v>
                </c:pt>
                <c:pt idx="96">
                  <c:v>1152.2004949264519</c:v>
                </c:pt>
                <c:pt idx="97">
                  <c:v>1160.8892343655655</c:v>
                </c:pt>
                <c:pt idx="98">
                  <c:v>1169.737982282694</c:v>
                </c:pt>
                <c:pt idx="99">
                  <c:v>1178.7467386778369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-1322.9218311379307</c:v>
                </c:pt>
                <c:pt idx="1">
                  <c:v>-1296.981711054141</c:v>
                </c:pt>
                <c:pt idx="2">
                  <c:v>-1271.0415909703511</c:v>
                </c:pt>
                <c:pt idx="3">
                  <c:v>-1245.1014708865614</c:v>
                </c:pt>
                <c:pt idx="4">
                  <c:v>-1219.1613508027713</c:v>
                </c:pt>
                <c:pt idx="5">
                  <c:v>-1193.2212307189816</c:v>
                </c:pt>
                <c:pt idx="6">
                  <c:v>-1167.2811106351917</c:v>
                </c:pt>
                <c:pt idx="7">
                  <c:v>-1141.3409905514018</c:v>
                </c:pt>
                <c:pt idx="8">
                  <c:v>-1115.4008704676121</c:v>
                </c:pt>
                <c:pt idx="9">
                  <c:v>-1089.4607503838222</c:v>
                </c:pt>
                <c:pt idx="10">
                  <c:v>-1063.5206303000325</c:v>
                </c:pt>
                <c:pt idx="11">
                  <c:v>-1037.5805102162426</c:v>
                </c:pt>
                <c:pt idx="12">
                  <c:v>-1011.6403901324526</c:v>
                </c:pt>
                <c:pt idx="13">
                  <c:v>-985.70027004866279</c:v>
                </c:pt>
                <c:pt idx="14">
                  <c:v>-959.76014996487299</c:v>
                </c:pt>
                <c:pt idx="15">
                  <c:v>-933.8200298810832</c:v>
                </c:pt>
                <c:pt idx="16">
                  <c:v>-907.87990979729341</c:v>
                </c:pt>
                <c:pt idx="17">
                  <c:v>-881.93978971350339</c:v>
                </c:pt>
                <c:pt idx="18">
                  <c:v>-855.99966962971359</c:v>
                </c:pt>
                <c:pt idx="19">
                  <c:v>-830.05954954592369</c:v>
                </c:pt>
                <c:pt idx="20">
                  <c:v>-804.11942946213389</c:v>
                </c:pt>
                <c:pt idx="21">
                  <c:v>-778.1793093783441</c:v>
                </c:pt>
                <c:pt idx="22">
                  <c:v>-752.23918929455431</c:v>
                </c:pt>
                <c:pt idx="23">
                  <c:v>-726.29906921076451</c:v>
                </c:pt>
                <c:pt idx="24">
                  <c:v>-700.35894912697461</c:v>
                </c:pt>
                <c:pt idx="25">
                  <c:v>-674.4188290431847</c:v>
                </c:pt>
                <c:pt idx="26">
                  <c:v>-648.47870895939491</c:v>
                </c:pt>
                <c:pt idx="27">
                  <c:v>-622.538588875605</c:v>
                </c:pt>
                <c:pt idx="28">
                  <c:v>-596.59846879181521</c:v>
                </c:pt>
                <c:pt idx="29">
                  <c:v>-570.65834870802541</c:v>
                </c:pt>
                <c:pt idx="30">
                  <c:v>-544.71822862423562</c:v>
                </c:pt>
                <c:pt idx="31">
                  <c:v>-518.77810854044571</c:v>
                </c:pt>
                <c:pt idx="32">
                  <c:v>-492.83798845665586</c:v>
                </c:pt>
                <c:pt idx="33">
                  <c:v>-466.89786837286607</c:v>
                </c:pt>
                <c:pt idx="34">
                  <c:v>-440.95774828907616</c:v>
                </c:pt>
                <c:pt idx="35">
                  <c:v>-415.01762820528631</c:v>
                </c:pt>
                <c:pt idx="36">
                  <c:v>-389.07750812149652</c:v>
                </c:pt>
                <c:pt idx="37">
                  <c:v>-363.13738803770673</c:v>
                </c:pt>
                <c:pt idx="38">
                  <c:v>-337.19726795391682</c:v>
                </c:pt>
                <c:pt idx="39">
                  <c:v>-311.25714787012697</c:v>
                </c:pt>
                <c:pt idx="40">
                  <c:v>-285.31702778633718</c:v>
                </c:pt>
                <c:pt idx="41">
                  <c:v>-259.37690770254727</c:v>
                </c:pt>
                <c:pt idx="42">
                  <c:v>-233.43678761875745</c:v>
                </c:pt>
                <c:pt idx="43">
                  <c:v>-207.49666753496766</c:v>
                </c:pt>
                <c:pt idx="44">
                  <c:v>-181.55654745117783</c:v>
                </c:pt>
                <c:pt idx="45">
                  <c:v>-155.61642736738804</c:v>
                </c:pt>
                <c:pt idx="46">
                  <c:v>-129.67630728359822</c:v>
                </c:pt>
                <c:pt idx="47">
                  <c:v>-103.73618719980819</c:v>
                </c:pt>
                <c:pt idx="48">
                  <c:v>-77.796067116018378</c:v>
                </c:pt>
                <c:pt idx="49">
                  <c:v>-51.855947032228578</c:v>
                </c:pt>
                <c:pt idx="50">
                  <c:v>-25.91582694843877</c:v>
                </c:pt>
                <c:pt idx="51">
                  <c:v>2.4293135351035743E-2</c:v>
                </c:pt>
                <c:pt idx="52">
                  <c:v>25.964413219140841</c:v>
                </c:pt>
                <c:pt idx="53">
                  <c:v>51.904533302930652</c:v>
                </c:pt>
                <c:pt idx="54">
                  <c:v>77.844653386720694</c:v>
                </c:pt>
                <c:pt idx="55">
                  <c:v>103.7847734705105</c:v>
                </c:pt>
                <c:pt idx="56">
                  <c:v>129.72489355430031</c:v>
                </c:pt>
                <c:pt idx="57">
                  <c:v>155.6650136380901</c:v>
                </c:pt>
                <c:pt idx="58">
                  <c:v>181.60513372187992</c:v>
                </c:pt>
                <c:pt idx="59">
                  <c:v>207.54525380566972</c:v>
                </c:pt>
                <c:pt idx="60">
                  <c:v>233.48537388945954</c:v>
                </c:pt>
                <c:pt idx="61">
                  <c:v>259.42549397324956</c:v>
                </c:pt>
                <c:pt idx="62">
                  <c:v>285.36561405703935</c:v>
                </c:pt>
                <c:pt idx="63">
                  <c:v>311.3057341408292</c:v>
                </c:pt>
                <c:pt idx="64">
                  <c:v>337.24585422461899</c:v>
                </c:pt>
                <c:pt idx="65">
                  <c:v>363.18597430840879</c:v>
                </c:pt>
                <c:pt idx="66">
                  <c:v>389.12609439219858</c:v>
                </c:pt>
                <c:pt idx="67">
                  <c:v>415.06621447598843</c:v>
                </c:pt>
                <c:pt idx="68">
                  <c:v>441.00633455977845</c:v>
                </c:pt>
                <c:pt idx="69">
                  <c:v>466.94645464356825</c:v>
                </c:pt>
                <c:pt idx="70">
                  <c:v>492.88657472735804</c:v>
                </c:pt>
                <c:pt idx="71">
                  <c:v>518.82669481114783</c:v>
                </c:pt>
                <c:pt idx="72">
                  <c:v>544.76681489493762</c:v>
                </c:pt>
                <c:pt idx="73">
                  <c:v>570.70693497872753</c:v>
                </c:pt>
                <c:pt idx="74">
                  <c:v>596.64705506251732</c:v>
                </c:pt>
                <c:pt idx="75">
                  <c:v>622.58717514630735</c:v>
                </c:pt>
                <c:pt idx="76">
                  <c:v>648.52729523009714</c:v>
                </c:pt>
                <c:pt idx="77">
                  <c:v>674.46741531388693</c:v>
                </c:pt>
                <c:pt idx="78">
                  <c:v>700.40753539767672</c:v>
                </c:pt>
                <c:pt idx="79">
                  <c:v>726.34765548146652</c:v>
                </c:pt>
                <c:pt idx="80">
                  <c:v>752.28777556525631</c:v>
                </c:pt>
                <c:pt idx="81">
                  <c:v>778.22789564904645</c:v>
                </c:pt>
                <c:pt idx="82">
                  <c:v>804.16801573283624</c:v>
                </c:pt>
                <c:pt idx="83">
                  <c:v>830.10813581662603</c:v>
                </c:pt>
                <c:pt idx="84">
                  <c:v>856.04825590041582</c:v>
                </c:pt>
                <c:pt idx="85">
                  <c:v>881.98837598420562</c:v>
                </c:pt>
                <c:pt idx="86">
                  <c:v>907.92849606799541</c:v>
                </c:pt>
                <c:pt idx="87">
                  <c:v>933.8686161517852</c:v>
                </c:pt>
                <c:pt idx="88">
                  <c:v>959.808736235575</c:v>
                </c:pt>
                <c:pt idx="89">
                  <c:v>985.7488563193649</c:v>
                </c:pt>
                <c:pt idx="90">
                  <c:v>1011.6889764031547</c:v>
                </c:pt>
                <c:pt idx="91">
                  <c:v>1037.6290964869445</c:v>
                </c:pt>
                <c:pt idx="92">
                  <c:v>1063.5692165707342</c:v>
                </c:pt>
                <c:pt idx="93">
                  <c:v>1089.5093366545245</c:v>
                </c:pt>
                <c:pt idx="94">
                  <c:v>1115.4494567383144</c:v>
                </c:pt>
                <c:pt idx="95">
                  <c:v>1141.3895768221041</c:v>
                </c:pt>
                <c:pt idx="96">
                  <c:v>1167.329696905894</c:v>
                </c:pt>
                <c:pt idx="97">
                  <c:v>1193.2698169896837</c:v>
                </c:pt>
                <c:pt idx="98">
                  <c:v>1219.2099370734736</c:v>
                </c:pt>
                <c:pt idx="99">
                  <c:v>1245.1500571572635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-106.21935475653824</c:v>
                </c:pt>
                <c:pt idx="1">
                  <c:v>-106.21935475653824</c:v>
                </c:pt>
                <c:pt idx="2">
                  <c:v>-106.21935475653824</c:v>
                </c:pt>
                <c:pt idx="3">
                  <c:v>-106.20438899403155</c:v>
                </c:pt>
                <c:pt idx="4">
                  <c:v>-106.10618741807164</c:v>
                </c:pt>
                <c:pt idx="5">
                  <c:v>-105.9163348526338</c:v>
                </c:pt>
                <c:pt idx="6">
                  <c:v>-105.63483129771799</c:v>
                </c:pt>
                <c:pt idx="7">
                  <c:v>-105.26167675332424</c:v>
                </c:pt>
                <c:pt idx="8">
                  <c:v>-104.79687121945253</c:v>
                </c:pt>
                <c:pt idx="9">
                  <c:v>-104.24041469610286</c:v>
                </c:pt>
                <c:pt idx="10">
                  <c:v>-103.59230718327525</c:v>
                </c:pt>
                <c:pt idx="11">
                  <c:v>-102.85254868096968</c:v>
                </c:pt>
                <c:pt idx="12">
                  <c:v>-102.02113918918614</c:v>
                </c:pt>
                <c:pt idx="13">
                  <c:v>-101.09807870792466</c:v>
                </c:pt>
                <c:pt idx="14">
                  <c:v>-100.08336723718523</c:v>
                </c:pt>
                <c:pt idx="15">
                  <c:v>-98.977004776967831</c:v>
                </c:pt>
                <c:pt idx="16">
                  <c:v>-97.778991327272493</c:v>
                </c:pt>
                <c:pt idx="17">
                  <c:v>-96.4893268880992</c:v>
                </c:pt>
                <c:pt idx="18">
                  <c:v>-95.108011459447951</c:v>
                </c:pt>
                <c:pt idx="19">
                  <c:v>-93.635045041318719</c:v>
                </c:pt>
                <c:pt idx="20">
                  <c:v>-92.07042763371156</c:v>
                </c:pt>
                <c:pt idx="21">
                  <c:v>-90.414159236626446</c:v>
                </c:pt>
                <c:pt idx="22">
                  <c:v>-88.666239850063377</c:v>
                </c:pt>
                <c:pt idx="23">
                  <c:v>-86.826669474022367</c:v>
                </c:pt>
                <c:pt idx="24">
                  <c:v>-84.895448108503373</c:v>
                </c:pt>
                <c:pt idx="25">
                  <c:v>-82.872575753506467</c:v>
                </c:pt>
                <c:pt idx="26">
                  <c:v>-80.758052409031563</c:v>
                </c:pt>
                <c:pt idx="27">
                  <c:v>-78.551878075078719</c:v>
                </c:pt>
                <c:pt idx="28">
                  <c:v>-76.254052751647933</c:v>
                </c:pt>
                <c:pt idx="29">
                  <c:v>-73.864576438739192</c:v>
                </c:pt>
                <c:pt idx="30">
                  <c:v>-71.383449136352482</c:v>
                </c:pt>
                <c:pt idx="31">
                  <c:v>-68.810670844487817</c:v>
                </c:pt>
                <c:pt idx="32">
                  <c:v>-66.14624156314521</c:v>
                </c:pt>
                <c:pt idx="33">
                  <c:v>-63.390161292324642</c:v>
                </c:pt>
                <c:pt idx="34">
                  <c:v>-60.542430032026118</c:v>
                </c:pt>
                <c:pt idx="35">
                  <c:v>-57.603047782249647</c:v>
                </c:pt>
                <c:pt idx="36">
                  <c:v>-54.572014542995227</c:v>
                </c:pt>
                <c:pt idx="37">
                  <c:v>-51.449330314262845</c:v>
                </c:pt>
                <c:pt idx="38">
                  <c:v>-48.234995096052494</c:v>
                </c:pt>
                <c:pt idx="39">
                  <c:v>-44.929008888364208</c:v>
                </c:pt>
                <c:pt idx="40">
                  <c:v>-41.531371691197968</c:v>
                </c:pt>
                <c:pt idx="41">
                  <c:v>-38.042083504553759</c:v>
                </c:pt>
                <c:pt idx="42">
                  <c:v>-34.461144328431608</c:v>
                </c:pt>
                <c:pt idx="43">
                  <c:v>-30.78855416283151</c:v>
                </c:pt>
                <c:pt idx="44">
                  <c:v>-27.024313007753452</c:v>
                </c:pt>
                <c:pt idx="45">
                  <c:v>-23.168420863197444</c:v>
                </c:pt>
                <c:pt idx="46">
                  <c:v>-19.22087772916348</c:v>
                </c:pt>
                <c:pt idx="47">
                  <c:v>-15.181683605651525</c:v>
                </c:pt>
                <c:pt idx="48">
                  <c:v>-11.050048143143558</c:v>
                </c:pt>
                <c:pt idx="49">
                  <c:v>-6.7752287642981592</c:v>
                </c:pt>
                <c:pt idx="50">
                  <c:v>-2.3268667191482519</c:v>
                </c:pt>
                <c:pt idx="51">
                  <c:v>2.2950379923061668</c:v>
                </c:pt>
                <c:pt idx="52">
                  <c:v>7.090485370065096</c:v>
                </c:pt>
                <c:pt idx="53">
                  <c:v>12.059475414128535</c:v>
                </c:pt>
                <c:pt idx="54">
                  <c:v>17.202008124496533</c:v>
                </c:pt>
                <c:pt idx="55">
                  <c:v>22.518083501168995</c:v>
                </c:pt>
                <c:pt idx="56">
                  <c:v>28.007701544145966</c:v>
                </c:pt>
                <c:pt idx="57">
                  <c:v>33.670862253427451</c:v>
                </c:pt>
                <c:pt idx="58">
                  <c:v>39.507565629013449</c:v>
                </c:pt>
                <c:pt idx="59">
                  <c:v>45.517811670903953</c:v>
                </c:pt>
                <c:pt idx="60">
                  <c:v>51.70160037909897</c:v>
                </c:pt>
                <c:pt idx="61">
                  <c:v>58.05893175359855</c:v>
                </c:pt>
                <c:pt idx="62">
                  <c:v>64.589805794402579</c:v>
                </c:pt>
                <c:pt idx="63">
                  <c:v>71.294222501511129</c:v>
                </c:pt>
                <c:pt idx="64">
                  <c:v>78.172181874924192</c:v>
                </c:pt>
                <c:pt idx="65">
                  <c:v>85.223683914641754</c:v>
                </c:pt>
                <c:pt idx="66">
                  <c:v>92.448728620663843</c:v>
                </c:pt>
                <c:pt idx="67">
                  <c:v>99.847315992990431</c:v>
                </c:pt>
                <c:pt idx="68">
                  <c:v>107.4194460316216</c:v>
                </c:pt>
                <c:pt idx="69">
                  <c:v>115.1651187365572</c:v>
                </c:pt>
                <c:pt idx="70">
                  <c:v>123.08433410779733</c:v>
                </c:pt>
                <c:pt idx="71">
                  <c:v>131.17709214534196</c:v>
                </c:pt>
                <c:pt idx="72">
                  <c:v>139.4433928491911</c:v>
                </c:pt>
                <c:pt idx="73">
                  <c:v>147.88323621934472</c:v>
                </c:pt>
                <c:pt idx="74">
                  <c:v>156.49662225580292</c:v>
                </c:pt>
                <c:pt idx="75">
                  <c:v>165.28355095856568</c:v>
                </c:pt>
                <c:pt idx="76">
                  <c:v>174.24402232763288</c:v>
                </c:pt>
                <c:pt idx="77">
                  <c:v>183.37803636300455</c:v>
                </c:pt>
                <c:pt idx="78">
                  <c:v>192.68559306468075</c:v>
                </c:pt>
                <c:pt idx="79">
                  <c:v>202.16669243266145</c:v>
                </c:pt>
                <c:pt idx="80">
                  <c:v>211.82133446694672</c:v>
                </c:pt>
                <c:pt idx="81">
                  <c:v>221.64951916753657</c:v>
                </c:pt>
                <c:pt idx="82">
                  <c:v>231.65124653443081</c:v>
                </c:pt>
                <c:pt idx="83">
                  <c:v>241.82651656762954</c:v>
                </c:pt>
                <c:pt idx="84">
                  <c:v>252.17532926713281</c:v>
                </c:pt>
                <c:pt idx="85">
                  <c:v>262.69768463294059</c:v>
                </c:pt>
                <c:pt idx="86">
                  <c:v>273.39358266505292</c:v>
                </c:pt>
                <c:pt idx="87">
                  <c:v>284.2630233634697</c:v>
                </c:pt>
                <c:pt idx="88">
                  <c:v>295.30600672819099</c:v>
                </c:pt>
                <c:pt idx="89">
                  <c:v>306.52253275921686</c:v>
                </c:pt>
                <c:pt idx="90">
                  <c:v>317.91260145654718</c:v>
                </c:pt>
                <c:pt idx="91">
                  <c:v>329.47621282018201</c:v>
                </c:pt>
                <c:pt idx="92">
                  <c:v>341.21336685012136</c:v>
                </c:pt>
                <c:pt idx="93">
                  <c:v>353.12406354636551</c:v>
                </c:pt>
                <c:pt idx="94">
                  <c:v>365.20830290891388</c:v>
                </c:pt>
                <c:pt idx="95">
                  <c:v>377.46608493776671</c:v>
                </c:pt>
                <c:pt idx="96">
                  <c:v>389.89740963292411</c:v>
                </c:pt>
                <c:pt idx="97">
                  <c:v>402.50227699438602</c:v>
                </c:pt>
                <c:pt idx="98">
                  <c:v>415.28068702215245</c:v>
                </c:pt>
                <c:pt idx="99">
                  <c:v>428.23263971622356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-1322.9218311379307</c:v>
                </c:pt>
                <c:pt idx="1">
                  <c:v>-1296.981711054141</c:v>
                </c:pt>
                <c:pt idx="2">
                  <c:v>-1271.0415909703511</c:v>
                </c:pt>
                <c:pt idx="3">
                  <c:v>-1245.1014708865614</c:v>
                </c:pt>
                <c:pt idx="4">
                  <c:v>-1219.1613508027713</c:v>
                </c:pt>
                <c:pt idx="5">
                  <c:v>-1193.2212307189816</c:v>
                </c:pt>
                <c:pt idx="6">
                  <c:v>-1167.2811106351917</c:v>
                </c:pt>
                <c:pt idx="7">
                  <c:v>-1141.3409905514018</c:v>
                </c:pt>
                <c:pt idx="8">
                  <c:v>-1115.4008704676121</c:v>
                </c:pt>
                <c:pt idx="9">
                  <c:v>-1089.4607503838222</c:v>
                </c:pt>
                <c:pt idx="10">
                  <c:v>-1063.5206303000325</c:v>
                </c:pt>
                <c:pt idx="11">
                  <c:v>-1037.5805102162426</c:v>
                </c:pt>
                <c:pt idx="12">
                  <c:v>-1011.6403901324526</c:v>
                </c:pt>
                <c:pt idx="13">
                  <c:v>-985.70027004866279</c:v>
                </c:pt>
                <c:pt idx="14">
                  <c:v>-959.76014996487299</c:v>
                </c:pt>
                <c:pt idx="15">
                  <c:v>-933.8200298810832</c:v>
                </c:pt>
                <c:pt idx="16">
                  <c:v>-907.87990979729341</c:v>
                </c:pt>
                <c:pt idx="17">
                  <c:v>-881.93978971350339</c:v>
                </c:pt>
                <c:pt idx="18">
                  <c:v>-855.99966962971359</c:v>
                </c:pt>
                <c:pt idx="19">
                  <c:v>-830.05954954592369</c:v>
                </c:pt>
                <c:pt idx="20">
                  <c:v>-804.11942946213389</c:v>
                </c:pt>
                <c:pt idx="21">
                  <c:v>-778.1793093783441</c:v>
                </c:pt>
                <c:pt idx="22">
                  <c:v>-752.23918929455431</c:v>
                </c:pt>
                <c:pt idx="23">
                  <c:v>-726.29906921076451</c:v>
                </c:pt>
                <c:pt idx="24">
                  <c:v>-700.35894912697461</c:v>
                </c:pt>
                <c:pt idx="25">
                  <c:v>-674.4188290431847</c:v>
                </c:pt>
                <c:pt idx="26">
                  <c:v>-648.47870895939491</c:v>
                </c:pt>
                <c:pt idx="27">
                  <c:v>-622.538588875605</c:v>
                </c:pt>
                <c:pt idx="28">
                  <c:v>-596.59846879181521</c:v>
                </c:pt>
                <c:pt idx="29">
                  <c:v>-570.65834870802541</c:v>
                </c:pt>
                <c:pt idx="30">
                  <c:v>-544.71822862423562</c:v>
                </c:pt>
                <c:pt idx="31">
                  <c:v>-518.77810854044571</c:v>
                </c:pt>
                <c:pt idx="32">
                  <c:v>-492.83798845665586</c:v>
                </c:pt>
                <c:pt idx="33">
                  <c:v>-466.89786837286607</c:v>
                </c:pt>
                <c:pt idx="34">
                  <c:v>-440.95774828907616</c:v>
                </c:pt>
                <c:pt idx="35">
                  <c:v>-415.01762820528631</c:v>
                </c:pt>
                <c:pt idx="36">
                  <c:v>-389.07750812149652</c:v>
                </c:pt>
                <c:pt idx="37">
                  <c:v>-363.13738803770673</c:v>
                </c:pt>
                <c:pt idx="38">
                  <c:v>-337.19726795391682</c:v>
                </c:pt>
                <c:pt idx="39">
                  <c:v>-311.25714787012697</c:v>
                </c:pt>
                <c:pt idx="40">
                  <c:v>-285.31702778633718</c:v>
                </c:pt>
                <c:pt idx="41">
                  <c:v>-259.37690770254727</c:v>
                </c:pt>
                <c:pt idx="42">
                  <c:v>-233.43678761875745</c:v>
                </c:pt>
                <c:pt idx="43">
                  <c:v>-207.49666753496766</c:v>
                </c:pt>
                <c:pt idx="44">
                  <c:v>-181.55654745117783</c:v>
                </c:pt>
                <c:pt idx="45">
                  <c:v>-155.61642736738804</c:v>
                </c:pt>
                <c:pt idx="46">
                  <c:v>-129.67630728359822</c:v>
                </c:pt>
                <c:pt idx="47">
                  <c:v>-103.73618719980819</c:v>
                </c:pt>
                <c:pt idx="48">
                  <c:v>-77.796067116018378</c:v>
                </c:pt>
                <c:pt idx="49">
                  <c:v>-51.855947032228578</c:v>
                </c:pt>
                <c:pt idx="50">
                  <c:v>-25.91582694843877</c:v>
                </c:pt>
                <c:pt idx="51">
                  <c:v>2.4293135351035743E-2</c:v>
                </c:pt>
                <c:pt idx="52">
                  <c:v>25.964413219140841</c:v>
                </c:pt>
                <c:pt idx="53">
                  <c:v>51.904533302930652</c:v>
                </c:pt>
                <c:pt idx="54">
                  <c:v>77.844653386720694</c:v>
                </c:pt>
                <c:pt idx="55">
                  <c:v>103.7847734705105</c:v>
                </c:pt>
                <c:pt idx="56">
                  <c:v>129.72489355430031</c:v>
                </c:pt>
                <c:pt idx="57">
                  <c:v>155.6650136380901</c:v>
                </c:pt>
                <c:pt idx="58">
                  <c:v>181.60513372187992</c:v>
                </c:pt>
                <c:pt idx="59">
                  <c:v>207.54525380566972</c:v>
                </c:pt>
                <c:pt idx="60">
                  <c:v>233.48537388945954</c:v>
                </c:pt>
                <c:pt idx="61">
                  <c:v>259.42549397324956</c:v>
                </c:pt>
                <c:pt idx="62">
                  <c:v>285.36561405703935</c:v>
                </c:pt>
                <c:pt idx="63">
                  <c:v>311.3057341408292</c:v>
                </c:pt>
                <c:pt idx="64">
                  <c:v>337.24585422461899</c:v>
                </c:pt>
                <c:pt idx="65">
                  <c:v>363.18597430840879</c:v>
                </c:pt>
                <c:pt idx="66">
                  <c:v>389.12609439219858</c:v>
                </c:pt>
                <c:pt idx="67">
                  <c:v>415.06621447598843</c:v>
                </c:pt>
                <c:pt idx="68">
                  <c:v>441.00633455977845</c:v>
                </c:pt>
                <c:pt idx="69">
                  <c:v>466.94645464356825</c:v>
                </c:pt>
                <c:pt idx="70">
                  <c:v>492.88657472735804</c:v>
                </c:pt>
                <c:pt idx="71">
                  <c:v>518.82669481114783</c:v>
                </c:pt>
                <c:pt idx="72">
                  <c:v>544.76681489493762</c:v>
                </c:pt>
                <c:pt idx="73">
                  <c:v>570.70693497872753</c:v>
                </c:pt>
                <c:pt idx="74">
                  <c:v>596.64705506251732</c:v>
                </c:pt>
                <c:pt idx="75">
                  <c:v>622.58717514630735</c:v>
                </c:pt>
                <c:pt idx="76">
                  <c:v>648.52729523009714</c:v>
                </c:pt>
                <c:pt idx="77">
                  <c:v>674.46741531388693</c:v>
                </c:pt>
                <c:pt idx="78">
                  <c:v>700.40753539767672</c:v>
                </c:pt>
                <c:pt idx="79">
                  <c:v>726.34765548146652</c:v>
                </c:pt>
                <c:pt idx="80">
                  <c:v>752.28777556525631</c:v>
                </c:pt>
                <c:pt idx="81">
                  <c:v>778.22789564904645</c:v>
                </c:pt>
                <c:pt idx="82">
                  <c:v>804.16801573283624</c:v>
                </c:pt>
                <c:pt idx="83">
                  <c:v>830.10813581662603</c:v>
                </c:pt>
                <c:pt idx="84">
                  <c:v>856.04825590041582</c:v>
                </c:pt>
                <c:pt idx="85">
                  <c:v>881.98837598420562</c:v>
                </c:pt>
                <c:pt idx="86">
                  <c:v>907.92849606799541</c:v>
                </c:pt>
                <c:pt idx="87">
                  <c:v>933.8686161517852</c:v>
                </c:pt>
                <c:pt idx="88">
                  <c:v>959.808736235575</c:v>
                </c:pt>
                <c:pt idx="89">
                  <c:v>985.7488563193649</c:v>
                </c:pt>
                <c:pt idx="90">
                  <c:v>1011.6889764031547</c:v>
                </c:pt>
                <c:pt idx="91">
                  <c:v>1037.6290964869445</c:v>
                </c:pt>
                <c:pt idx="92">
                  <c:v>1063.5692165707342</c:v>
                </c:pt>
                <c:pt idx="93">
                  <c:v>1089.5093366545245</c:v>
                </c:pt>
                <c:pt idx="94">
                  <c:v>1115.4494567383144</c:v>
                </c:pt>
                <c:pt idx="95">
                  <c:v>1141.3895768221041</c:v>
                </c:pt>
                <c:pt idx="96">
                  <c:v>1167.329696905894</c:v>
                </c:pt>
                <c:pt idx="97">
                  <c:v>1193.2698169896837</c:v>
                </c:pt>
                <c:pt idx="98">
                  <c:v>1219.2099370734736</c:v>
                </c:pt>
                <c:pt idx="99">
                  <c:v>1245.1500571572635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896.86750312329912</c:v>
                </c:pt>
                <c:pt idx="1">
                  <c:v>896.86750312329912</c:v>
                </c:pt>
                <c:pt idx="2">
                  <c:v>896.86750312329912</c:v>
                </c:pt>
                <c:pt idx="3">
                  <c:v>896.87242886457898</c:v>
                </c:pt>
                <c:pt idx="4">
                  <c:v>896.90475034210078</c:v>
                </c:pt>
                <c:pt idx="5">
                  <c:v>896.96723727641199</c:v>
                </c:pt>
                <c:pt idx="6">
                  <c:v>897.05988966751238</c:v>
                </c:pt>
                <c:pt idx="7">
                  <c:v>897.18270751540217</c:v>
                </c:pt>
                <c:pt idx="8">
                  <c:v>897.33569082008125</c:v>
                </c:pt>
                <c:pt idx="9">
                  <c:v>897.51883958154974</c:v>
                </c:pt>
                <c:pt idx="10">
                  <c:v>897.73215379980752</c:v>
                </c:pt>
                <c:pt idx="11">
                  <c:v>897.97563347485459</c:v>
                </c:pt>
                <c:pt idx="12">
                  <c:v>898.24927860669106</c:v>
                </c:pt>
                <c:pt idx="13">
                  <c:v>898.55308919531694</c:v>
                </c:pt>
                <c:pt idx="14">
                  <c:v>898.88706524073189</c:v>
                </c:pt>
                <c:pt idx="15">
                  <c:v>899.25120674293635</c:v>
                </c:pt>
                <c:pt idx="16">
                  <c:v>899.64551370193021</c:v>
                </c:pt>
                <c:pt idx="17">
                  <c:v>900.06998611771326</c:v>
                </c:pt>
                <c:pt idx="18">
                  <c:v>900.52462399028582</c:v>
                </c:pt>
                <c:pt idx="19">
                  <c:v>901.00942731964756</c:v>
                </c:pt>
                <c:pt idx="20">
                  <c:v>901.5243961057987</c:v>
                </c:pt>
                <c:pt idx="21">
                  <c:v>902.06953034873902</c:v>
                </c:pt>
                <c:pt idx="22">
                  <c:v>902.64483004846875</c:v>
                </c:pt>
                <c:pt idx="23">
                  <c:v>903.25029520498788</c:v>
                </c:pt>
                <c:pt idx="24">
                  <c:v>903.8859258182963</c:v>
                </c:pt>
                <c:pt idx="25">
                  <c:v>904.55172188839413</c:v>
                </c:pt>
                <c:pt idx="26">
                  <c:v>905.24768341528113</c:v>
                </c:pt>
                <c:pt idx="27">
                  <c:v>905.97381039895754</c:v>
                </c:pt>
                <c:pt idx="28">
                  <c:v>906.73010283942335</c:v>
                </c:pt>
                <c:pt idx="29">
                  <c:v>907.51656073667846</c:v>
                </c:pt>
                <c:pt idx="30">
                  <c:v>908.33318409072285</c:v>
                </c:pt>
                <c:pt idx="31">
                  <c:v>909.17997290155654</c:v>
                </c:pt>
                <c:pt idx="32">
                  <c:v>910.05692716917952</c:v>
                </c:pt>
                <c:pt idx="33">
                  <c:v>910.96404689359201</c:v>
                </c:pt>
                <c:pt idx="34">
                  <c:v>911.9013320747938</c:v>
                </c:pt>
                <c:pt idx="35">
                  <c:v>912.86878271278488</c:v>
                </c:pt>
                <c:pt idx="36">
                  <c:v>913.86639880756525</c:v>
                </c:pt>
                <c:pt idx="37">
                  <c:v>914.89418035913491</c:v>
                </c:pt>
                <c:pt idx="38">
                  <c:v>915.95212736749397</c:v>
                </c:pt>
                <c:pt idx="39">
                  <c:v>917.04023983264233</c:v>
                </c:pt>
                <c:pt idx="40">
                  <c:v>918.15851775457998</c:v>
                </c:pt>
                <c:pt idx="41">
                  <c:v>919.30696113330703</c:v>
                </c:pt>
                <c:pt idx="42">
                  <c:v>920.48556996882348</c:v>
                </c:pt>
                <c:pt idx="43">
                  <c:v>921.69434426112912</c:v>
                </c:pt>
                <c:pt idx="44">
                  <c:v>922.93328401022427</c:v>
                </c:pt>
                <c:pt idx="45">
                  <c:v>924.2023892161086</c:v>
                </c:pt>
                <c:pt idx="46">
                  <c:v>925.50165987878233</c:v>
                </c:pt>
                <c:pt idx="47">
                  <c:v>926.83109599824536</c:v>
                </c:pt>
                <c:pt idx="48">
                  <c:v>928.19174129032024</c:v>
                </c:pt>
                <c:pt idx="49">
                  <c:v>929.65060513457775</c:v>
                </c:pt>
                <c:pt idx="50">
                  <c:v>931.24777853755313</c:v>
                </c:pt>
                <c:pt idx="51">
                  <c:v>932.98326149924674</c:v>
                </c:pt>
                <c:pt idx="52">
                  <c:v>934.85705401965822</c:v>
                </c:pt>
                <c:pt idx="53">
                  <c:v>936.86915609878793</c:v>
                </c:pt>
                <c:pt idx="54">
                  <c:v>939.01956773663574</c:v>
                </c:pt>
                <c:pt idx="55">
                  <c:v>941.30828893320142</c:v>
                </c:pt>
                <c:pt idx="56">
                  <c:v>943.73531968848533</c:v>
                </c:pt>
                <c:pt idx="57">
                  <c:v>946.30066000248735</c:v>
                </c:pt>
                <c:pt idx="58">
                  <c:v>949.00430987520735</c:v>
                </c:pt>
                <c:pt idx="59">
                  <c:v>951.84626930664535</c:v>
                </c:pt>
                <c:pt idx="60">
                  <c:v>954.82653829680146</c:v>
                </c:pt>
                <c:pt idx="61">
                  <c:v>957.9451168456759</c:v>
                </c:pt>
                <c:pt idx="62">
                  <c:v>961.2020049532681</c:v>
                </c:pt>
                <c:pt idx="63">
                  <c:v>964.59720261957841</c:v>
                </c:pt>
                <c:pt idx="64">
                  <c:v>968.13070984460694</c:v>
                </c:pt>
                <c:pt idx="65">
                  <c:v>971.80252662835335</c:v>
                </c:pt>
                <c:pt idx="66">
                  <c:v>975.61265297081798</c:v>
                </c:pt>
                <c:pt idx="67">
                  <c:v>979.5610888720006</c:v>
                </c:pt>
                <c:pt idx="68">
                  <c:v>983.64783433190132</c:v>
                </c:pt>
                <c:pt idx="69">
                  <c:v>987.87288935052015</c:v>
                </c:pt>
                <c:pt idx="70">
                  <c:v>992.23625392785686</c:v>
                </c:pt>
                <c:pt idx="71">
                  <c:v>996.7379280639118</c:v>
                </c:pt>
                <c:pt idx="72">
                  <c:v>1001.3779117586848</c:v>
                </c:pt>
                <c:pt idx="73">
                  <c:v>1006.1562050121759</c:v>
                </c:pt>
                <c:pt idx="74">
                  <c:v>1011.072807824385</c:v>
                </c:pt>
                <c:pt idx="75">
                  <c:v>1016.1277201953121</c:v>
                </c:pt>
                <c:pt idx="76">
                  <c:v>1021.3209421249575</c:v>
                </c:pt>
                <c:pt idx="77">
                  <c:v>1026.6524736133208</c:v>
                </c:pt>
                <c:pt idx="78">
                  <c:v>1032.122314660402</c:v>
                </c:pt>
                <c:pt idx="79">
                  <c:v>1037.7304652662017</c:v>
                </c:pt>
                <c:pt idx="80">
                  <c:v>1043.4769254307191</c:v>
                </c:pt>
                <c:pt idx="81">
                  <c:v>1049.361695153955</c:v>
                </c:pt>
                <c:pt idx="82">
                  <c:v>1055.3847744359086</c:v>
                </c:pt>
                <c:pt idx="83">
                  <c:v>1061.5461632765803</c:v>
                </c:pt>
                <c:pt idx="84">
                  <c:v>1067.8458616759701</c:v>
                </c:pt>
                <c:pt idx="85">
                  <c:v>1074.283869634078</c:v>
                </c:pt>
                <c:pt idx="86">
                  <c:v>1080.8601871509038</c:v>
                </c:pt>
                <c:pt idx="87">
                  <c:v>1087.5748142264479</c:v>
                </c:pt>
                <c:pt idx="88">
                  <c:v>1094.4277508607099</c:v>
                </c:pt>
                <c:pt idx="89">
                  <c:v>1101.41899705369</c:v>
                </c:pt>
                <c:pt idx="90">
                  <c:v>1108.5485528053885</c:v>
                </c:pt>
                <c:pt idx="91">
                  <c:v>1115.8164181158045</c:v>
                </c:pt>
                <c:pt idx="92">
                  <c:v>1123.222592984939</c:v>
                </c:pt>
                <c:pt idx="93">
                  <c:v>1130.7670774127917</c:v>
                </c:pt>
                <c:pt idx="94">
                  <c:v>1138.4498713993619</c:v>
                </c:pt>
                <c:pt idx="95">
                  <c:v>1146.2709749446506</c:v>
                </c:pt>
                <c:pt idx="96">
                  <c:v>1154.2303880486572</c:v>
                </c:pt>
                <c:pt idx="97">
                  <c:v>1162.3281107113817</c:v>
                </c:pt>
                <c:pt idx="98">
                  <c:v>1170.5641429328246</c:v>
                </c:pt>
                <c:pt idx="99">
                  <c:v>1178.9384847129857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-1281.0166084742832</c:v>
                </c:pt>
                <c:pt idx="1">
                  <c:v>-1255.2817458888678</c:v>
                </c:pt>
                <c:pt idx="2">
                  <c:v>-1229.5468833034524</c:v>
                </c:pt>
                <c:pt idx="3">
                  <c:v>-1203.812020718037</c:v>
                </c:pt>
                <c:pt idx="4">
                  <c:v>-1178.0771581326221</c:v>
                </c:pt>
                <c:pt idx="5">
                  <c:v>-1152.3422955472067</c:v>
                </c:pt>
                <c:pt idx="6">
                  <c:v>-1126.6074329617913</c:v>
                </c:pt>
                <c:pt idx="7">
                  <c:v>-1100.872570376376</c:v>
                </c:pt>
                <c:pt idx="8">
                  <c:v>-1075.1377077909606</c:v>
                </c:pt>
                <c:pt idx="9">
                  <c:v>-1049.4028452055452</c:v>
                </c:pt>
                <c:pt idx="10">
                  <c:v>-1023.6679826201298</c:v>
                </c:pt>
                <c:pt idx="11">
                  <c:v>-997.93312003471453</c:v>
                </c:pt>
                <c:pt idx="12">
                  <c:v>-972.19825744929926</c:v>
                </c:pt>
                <c:pt idx="13">
                  <c:v>-946.46339486388388</c:v>
                </c:pt>
                <c:pt idx="14">
                  <c:v>-920.72853227846861</c:v>
                </c:pt>
                <c:pt idx="15">
                  <c:v>-894.99366969305322</c:v>
                </c:pt>
                <c:pt idx="16">
                  <c:v>-869.25880710763784</c:v>
                </c:pt>
                <c:pt idx="17">
                  <c:v>-843.52394452222245</c:v>
                </c:pt>
                <c:pt idx="18">
                  <c:v>-817.78908193680718</c:v>
                </c:pt>
                <c:pt idx="19">
                  <c:v>-792.05421935139191</c:v>
                </c:pt>
                <c:pt idx="20">
                  <c:v>-766.31935676597652</c:v>
                </c:pt>
                <c:pt idx="21">
                  <c:v>-740.58449418056114</c:v>
                </c:pt>
                <c:pt idx="22">
                  <c:v>-714.84963159514587</c:v>
                </c:pt>
                <c:pt idx="23">
                  <c:v>-689.11476900973059</c:v>
                </c:pt>
                <c:pt idx="24">
                  <c:v>-663.37990642431521</c:v>
                </c:pt>
                <c:pt idx="25">
                  <c:v>-637.64504383889982</c:v>
                </c:pt>
                <c:pt idx="26">
                  <c:v>-611.91018125348444</c:v>
                </c:pt>
                <c:pt idx="27">
                  <c:v>-586.17531866806917</c:v>
                </c:pt>
                <c:pt idx="28">
                  <c:v>-560.44045608265378</c:v>
                </c:pt>
                <c:pt idx="29">
                  <c:v>-534.70559349723851</c:v>
                </c:pt>
                <c:pt idx="30">
                  <c:v>-508.97073091182324</c:v>
                </c:pt>
                <c:pt idx="31">
                  <c:v>-483.23586832640785</c:v>
                </c:pt>
                <c:pt idx="32">
                  <c:v>-457.50100574099247</c:v>
                </c:pt>
                <c:pt idx="33">
                  <c:v>-431.76614315557714</c:v>
                </c:pt>
                <c:pt idx="34">
                  <c:v>-406.03128057016175</c:v>
                </c:pt>
                <c:pt idx="35">
                  <c:v>-380.29641798474654</c:v>
                </c:pt>
                <c:pt idx="36">
                  <c:v>-354.56155539933116</c:v>
                </c:pt>
                <c:pt idx="37">
                  <c:v>-328.82669281391577</c:v>
                </c:pt>
                <c:pt idx="38">
                  <c:v>-303.09183022850056</c:v>
                </c:pt>
                <c:pt idx="39">
                  <c:v>-277.35696764308517</c:v>
                </c:pt>
                <c:pt idx="40">
                  <c:v>-251.62210505766981</c:v>
                </c:pt>
                <c:pt idx="41">
                  <c:v>-225.88724247225443</c:v>
                </c:pt>
                <c:pt idx="42">
                  <c:v>-200.15237988683907</c:v>
                </c:pt>
                <c:pt idx="43">
                  <c:v>-174.41751730142371</c:v>
                </c:pt>
                <c:pt idx="44">
                  <c:v>-148.68265471600859</c:v>
                </c:pt>
                <c:pt idx="45">
                  <c:v>-122.94779213059321</c:v>
                </c:pt>
                <c:pt idx="46">
                  <c:v>-97.212929545177843</c:v>
                </c:pt>
                <c:pt idx="47">
                  <c:v>-71.478066959762486</c:v>
                </c:pt>
                <c:pt idx="48">
                  <c:v>-45.743204374347116</c:v>
                </c:pt>
                <c:pt idx="49">
                  <c:v>-20.008341788931748</c:v>
                </c:pt>
                <c:pt idx="50">
                  <c:v>5.7265207964836158</c:v>
                </c:pt>
                <c:pt idx="51">
                  <c:v>31.46138338189898</c:v>
                </c:pt>
                <c:pt idx="52">
                  <c:v>57.196245967314347</c:v>
                </c:pt>
                <c:pt idx="53">
                  <c:v>82.931108552729484</c:v>
                </c:pt>
                <c:pt idx="54">
                  <c:v>108.66597113814484</c:v>
                </c:pt>
                <c:pt idx="55">
                  <c:v>134.4008337235602</c:v>
                </c:pt>
                <c:pt idx="56">
                  <c:v>160.13569630897558</c:v>
                </c:pt>
                <c:pt idx="57">
                  <c:v>185.87055889439094</c:v>
                </c:pt>
                <c:pt idx="58">
                  <c:v>211.6054214798063</c:v>
                </c:pt>
                <c:pt idx="59">
                  <c:v>237.34028406522168</c:v>
                </c:pt>
                <c:pt idx="60">
                  <c:v>263.07514665063678</c:v>
                </c:pt>
                <c:pt idx="61">
                  <c:v>288.81000923605217</c:v>
                </c:pt>
                <c:pt idx="62">
                  <c:v>314.54487182146755</c:v>
                </c:pt>
                <c:pt idx="63">
                  <c:v>340.27973440688288</c:v>
                </c:pt>
                <c:pt idx="64">
                  <c:v>366.01459699229827</c:v>
                </c:pt>
                <c:pt idx="65">
                  <c:v>391.74945957771365</c:v>
                </c:pt>
                <c:pt idx="66">
                  <c:v>417.48432216312898</c:v>
                </c:pt>
                <c:pt idx="67">
                  <c:v>443.21918474854436</c:v>
                </c:pt>
                <c:pt idx="68">
                  <c:v>468.95404733395975</c:v>
                </c:pt>
                <c:pt idx="69">
                  <c:v>494.68890991937485</c:v>
                </c:pt>
                <c:pt idx="70">
                  <c:v>520.42377250479024</c:v>
                </c:pt>
                <c:pt idx="71">
                  <c:v>546.15863509020562</c:v>
                </c:pt>
                <c:pt idx="72">
                  <c:v>571.89349767562101</c:v>
                </c:pt>
                <c:pt idx="73">
                  <c:v>597.62836026103628</c:v>
                </c:pt>
                <c:pt idx="74">
                  <c:v>623.36322284645166</c:v>
                </c:pt>
                <c:pt idx="75">
                  <c:v>649.09808543186705</c:v>
                </c:pt>
                <c:pt idx="76">
                  <c:v>674.83294801728221</c:v>
                </c:pt>
                <c:pt idx="77">
                  <c:v>700.56781060269759</c:v>
                </c:pt>
                <c:pt idx="78">
                  <c:v>726.30267318811286</c:v>
                </c:pt>
                <c:pt idx="79">
                  <c:v>752.03753577352825</c:v>
                </c:pt>
                <c:pt idx="80">
                  <c:v>777.77239835894363</c:v>
                </c:pt>
                <c:pt idx="81">
                  <c:v>803.50726094435902</c:v>
                </c:pt>
                <c:pt idx="82">
                  <c:v>829.2421235297744</c:v>
                </c:pt>
                <c:pt idx="83">
                  <c:v>854.97698611518945</c:v>
                </c:pt>
                <c:pt idx="84">
                  <c:v>880.71184870060506</c:v>
                </c:pt>
                <c:pt idx="85">
                  <c:v>906.44671128602022</c:v>
                </c:pt>
                <c:pt idx="86">
                  <c:v>932.18157387143583</c:v>
                </c:pt>
                <c:pt idx="87">
                  <c:v>957.91643645685099</c:v>
                </c:pt>
                <c:pt idx="88">
                  <c:v>983.65129904226615</c:v>
                </c:pt>
                <c:pt idx="89">
                  <c:v>1009.3861616276816</c:v>
                </c:pt>
                <c:pt idx="90">
                  <c:v>1035.1210242130969</c:v>
                </c:pt>
                <c:pt idx="91">
                  <c:v>1060.8558867985125</c:v>
                </c:pt>
                <c:pt idx="92">
                  <c:v>1086.5907493839275</c:v>
                </c:pt>
                <c:pt idx="93">
                  <c:v>1112.3256119693431</c:v>
                </c:pt>
                <c:pt idx="94">
                  <c:v>1138.0604745547582</c:v>
                </c:pt>
                <c:pt idx="95">
                  <c:v>1163.7953371401738</c:v>
                </c:pt>
                <c:pt idx="96">
                  <c:v>1189.530199725589</c:v>
                </c:pt>
                <c:pt idx="97">
                  <c:v>1215.2650623110042</c:v>
                </c:pt>
                <c:pt idx="98">
                  <c:v>1240.9999248964198</c:v>
                </c:pt>
                <c:pt idx="99">
                  <c:v>1266.7347874818349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-101.16085916852791</c:v>
                </c:pt>
                <c:pt idx="1">
                  <c:v>-101.16085916852791</c:v>
                </c:pt>
                <c:pt idx="2">
                  <c:v>-101.16085916852791</c:v>
                </c:pt>
                <c:pt idx="3">
                  <c:v>-101.14269066606427</c:v>
                </c:pt>
                <c:pt idx="4">
                  <c:v>-101.03915242559378</c:v>
                </c:pt>
                <c:pt idx="5">
                  <c:v>-100.84395853248512</c:v>
                </c:pt>
                <c:pt idx="6">
                  <c:v>-100.55710898673829</c:v>
                </c:pt>
                <c:pt idx="7">
                  <c:v>-100.17860378835327</c:v>
                </c:pt>
                <c:pt idx="8">
                  <c:v>-99.708442937330091</c:v>
                </c:pt>
                <c:pt idx="9">
                  <c:v>-99.146626433668729</c:v>
                </c:pt>
                <c:pt idx="10">
                  <c:v>-98.4931542773692</c:v>
                </c:pt>
                <c:pt idx="11">
                  <c:v>-97.74802646843149</c:v>
                </c:pt>
                <c:pt idx="12">
                  <c:v>-96.911243006855614</c:v>
                </c:pt>
                <c:pt idx="13">
                  <c:v>-95.982803892641556</c:v>
                </c:pt>
                <c:pt idx="14">
                  <c:v>-94.962709125789331</c:v>
                </c:pt>
                <c:pt idx="15">
                  <c:v>-93.850958706298925</c:v>
                </c:pt>
                <c:pt idx="16">
                  <c:v>-92.647552634170339</c:v>
                </c:pt>
                <c:pt idx="17">
                  <c:v>-91.352490909403599</c:v>
                </c:pt>
                <c:pt idx="18">
                  <c:v>-89.965773531998664</c:v>
                </c:pt>
                <c:pt idx="19">
                  <c:v>-88.487400501955577</c:v>
                </c:pt>
                <c:pt idx="20">
                  <c:v>-86.917371819274294</c:v>
                </c:pt>
                <c:pt idx="21">
                  <c:v>-85.255687483954858</c:v>
                </c:pt>
                <c:pt idx="22">
                  <c:v>-83.502347495997228</c:v>
                </c:pt>
                <c:pt idx="23">
                  <c:v>-81.65735185540143</c:v>
                </c:pt>
                <c:pt idx="24">
                  <c:v>-79.720700562167465</c:v>
                </c:pt>
                <c:pt idx="25">
                  <c:v>-77.692393616295305</c:v>
                </c:pt>
                <c:pt idx="26">
                  <c:v>-75.572431017784979</c:v>
                </c:pt>
                <c:pt idx="27">
                  <c:v>-73.360812766636499</c:v>
                </c:pt>
                <c:pt idx="28">
                  <c:v>-71.057538862849839</c:v>
                </c:pt>
                <c:pt idx="29">
                  <c:v>-68.662609306424983</c:v>
                </c:pt>
                <c:pt idx="30">
                  <c:v>-66.176024097361974</c:v>
                </c:pt>
                <c:pt idx="31">
                  <c:v>-63.597783235660799</c:v>
                </c:pt>
                <c:pt idx="32">
                  <c:v>-60.927886721321421</c:v>
                </c:pt>
                <c:pt idx="33">
                  <c:v>-58.166334554343877</c:v>
                </c:pt>
                <c:pt idx="34">
                  <c:v>-55.313126734728165</c:v>
                </c:pt>
                <c:pt idx="35">
                  <c:v>-52.368263262474287</c:v>
                </c:pt>
                <c:pt idx="36">
                  <c:v>-49.33174413758222</c:v>
                </c:pt>
                <c:pt idx="37">
                  <c:v>-46.203569360051986</c:v>
                </c:pt>
                <c:pt idx="38">
                  <c:v>-42.983738929883586</c:v>
                </c:pt>
                <c:pt idx="39">
                  <c:v>-39.672252847076997</c:v>
                </c:pt>
                <c:pt idx="40">
                  <c:v>-36.269111111632235</c:v>
                </c:pt>
                <c:pt idx="41">
                  <c:v>-32.774313723549298</c:v>
                </c:pt>
                <c:pt idx="42">
                  <c:v>-29.187860682828187</c:v>
                </c:pt>
                <c:pt idx="43">
                  <c:v>-25.509751989468903</c:v>
                </c:pt>
                <c:pt idx="44">
                  <c:v>-21.73998764347148</c:v>
                </c:pt>
                <c:pt idx="45">
                  <c:v>-17.878567644835847</c:v>
                </c:pt>
                <c:pt idx="46">
                  <c:v>-13.925491993562039</c:v>
                </c:pt>
                <c:pt idx="47">
                  <c:v>-9.8746850324997162</c:v>
                </c:pt>
                <c:pt idx="48">
                  <c:v>-5.6659070493045789</c:v>
                </c:pt>
                <c:pt idx="49">
                  <c:v>-1.28372593267679</c:v>
                </c:pt>
                <c:pt idx="50">
                  <c:v>3.2718583173836491</c:v>
                </c:pt>
                <c:pt idx="51">
                  <c:v>8.0008457008767397</c:v>
                </c:pt>
                <c:pt idx="52">
                  <c:v>12.90323621780248</c:v>
                </c:pt>
                <c:pt idx="53">
                  <c:v>17.979029868160822</c:v>
                </c:pt>
                <c:pt idx="54">
                  <c:v>23.228226651951868</c:v>
                </c:pt>
                <c:pt idx="55">
                  <c:v>28.650826569175557</c:v>
                </c:pt>
                <c:pt idx="56">
                  <c:v>34.2468296198319</c:v>
                </c:pt>
                <c:pt idx="57">
                  <c:v>40.016235803920893</c:v>
                </c:pt>
                <c:pt idx="58">
                  <c:v>45.959045121442536</c:v>
                </c:pt>
                <c:pt idx="59">
                  <c:v>52.075257572396829</c:v>
                </c:pt>
                <c:pt idx="60">
                  <c:v>58.364873156783716</c:v>
                </c:pt>
                <c:pt idx="61">
                  <c:v>64.82789187460331</c:v>
                </c:pt>
                <c:pt idx="62">
                  <c:v>71.464313725855547</c:v>
                </c:pt>
                <c:pt idx="63">
                  <c:v>78.274138710540456</c:v>
                </c:pt>
                <c:pt idx="64">
                  <c:v>85.257366828657993</c:v>
                </c:pt>
                <c:pt idx="65">
                  <c:v>92.413998080208202</c:v>
                </c:pt>
                <c:pt idx="66">
                  <c:v>99.74403246519104</c:v>
                </c:pt>
                <c:pt idx="67">
                  <c:v>107.24746998360654</c:v>
                </c:pt>
                <c:pt idx="68">
                  <c:v>114.92431063545469</c:v>
                </c:pt>
                <c:pt idx="69">
                  <c:v>122.77455442073541</c:v>
                </c:pt>
                <c:pt idx="70">
                  <c:v>130.79820133944884</c:v>
                </c:pt>
                <c:pt idx="71">
                  <c:v>138.99525139159493</c:v>
                </c:pt>
                <c:pt idx="72">
                  <c:v>147.36570457717369</c:v>
                </c:pt>
                <c:pt idx="73">
                  <c:v>155.90956089618516</c:v>
                </c:pt>
                <c:pt idx="74">
                  <c:v>164.62682034862917</c:v>
                </c:pt>
                <c:pt idx="75">
                  <c:v>173.51748293450589</c:v>
                </c:pt>
                <c:pt idx="76">
                  <c:v>182.58154865381516</c:v>
                </c:pt>
                <c:pt idx="77">
                  <c:v>191.81901750655715</c:v>
                </c:pt>
                <c:pt idx="78">
                  <c:v>201.22988949273179</c:v>
                </c:pt>
                <c:pt idx="79">
                  <c:v>210.81416461233908</c:v>
                </c:pt>
                <c:pt idx="80">
                  <c:v>220.5718428653791</c:v>
                </c:pt>
                <c:pt idx="81">
                  <c:v>230.50292425185165</c:v>
                </c:pt>
                <c:pt idx="82">
                  <c:v>240.60740877175692</c:v>
                </c:pt>
                <c:pt idx="83">
                  <c:v>250.88529642509474</c:v>
                </c:pt>
                <c:pt idx="84">
                  <c:v>261.33658721186538</c:v>
                </c:pt>
                <c:pt idx="85">
                  <c:v>271.96128113206851</c:v>
                </c:pt>
                <c:pt idx="86">
                  <c:v>282.75937818570441</c:v>
                </c:pt>
                <c:pt idx="87">
                  <c:v>293.73087837277285</c:v>
                </c:pt>
                <c:pt idx="88">
                  <c:v>304.87578169327389</c:v>
                </c:pt>
                <c:pt idx="89">
                  <c:v>316.19408814720776</c:v>
                </c:pt>
                <c:pt idx="90">
                  <c:v>327.68579773457418</c:v>
                </c:pt>
                <c:pt idx="91">
                  <c:v>339.35091045537337</c:v>
                </c:pt>
                <c:pt idx="92">
                  <c:v>351.18942630960498</c:v>
                </c:pt>
                <c:pt idx="93">
                  <c:v>363.20134529726954</c:v>
                </c:pt>
                <c:pt idx="94">
                  <c:v>375.38666741836653</c:v>
                </c:pt>
                <c:pt idx="95">
                  <c:v>387.74539267289634</c:v>
                </c:pt>
                <c:pt idx="96">
                  <c:v>400.27752106085859</c:v>
                </c:pt>
                <c:pt idx="97">
                  <c:v>412.98305258225349</c:v>
                </c:pt>
                <c:pt idx="98">
                  <c:v>425.86198723708128</c:v>
                </c:pt>
                <c:pt idx="99">
                  <c:v>438.91432502534144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-1281.0166084742832</c:v>
                </c:pt>
                <c:pt idx="1">
                  <c:v>-1255.2817458888678</c:v>
                </c:pt>
                <c:pt idx="2">
                  <c:v>-1229.5468833034524</c:v>
                </c:pt>
                <c:pt idx="3">
                  <c:v>-1203.812020718037</c:v>
                </c:pt>
                <c:pt idx="4">
                  <c:v>-1178.0771581326221</c:v>
                </c:pt>
                <c:pt idx="5">
                  <c:v>-1152.3422955472067</c:v>
                </c:pt>
                <c:pt idx="6">
                  <c:v>-1126.6074329617913</c:v>
                </c:pt>
                <c:pt idx="7">
                  <c:v>-1100.872570376376</c:v>
                </c:pt>
                <c:pt idx="8">
                  <c:v>-1075.1377077909606</c:v>
                </c:pt>
                <c:pt idx="9">
                  <c:v>-1049.4028452055452</c:v>
                </c:pt>
                <c:pt idx="10">
                  <c:v>-1023.6679826201298</c:v>
                </c:pt>
                <c:pt idx="11">
                  <c:v>-997.93312003471453</c:v>
                </c:pt>
                <c:pt idx="12">
                  <c:v>-972.19825744929926</c:v>
                </c:pt>
                <c:pt idx="13">
                  <c:v>-946.46339486388388</c:v>
                </c:pt>
                <c:pt idx="14">
                  <c:v>-920.72853227846861</c:v>
                </c:pt>
                <c:pt idx="15">
                  <c:v>-894.99366969305322</c:v>
                </c:pt>
                <c:pt idx="16">
                  <c:v>-869.25880710763784</c:v>
                </c:pt>
                <c:pt idx="17">
                  <c:v>-843.52394452222245</c:v>
                </c:pt>
                <c:pt idx="18">
                  <c:v>-817.78908193680718</c:v>
                </c:pt>
                <c:pt idx="19">
                  <c:v>-792.05421935139191</c:v>
                </c:pt>
                <c:pt idx="20">
                  <c:v>-766.31935676597652</c:v>
                </c:pt>
                <c:pt idx="21">
                  <c:v>-740.58449418056114</c:v>
                </c:pt>
                <c:pt idx="22">
                  <c:v>-714.84963159514587</c:v>
                </c:pt>
                <c:pt idx="23">
                  <c:v>-689.11476900973059</c:v>
                </c:pt>
                <c:pt idx="24">
                  <c:v>-663.37990642431521</c:v>
                </c:pt>
                <c:pt idx="25">
                  <c:v>-637.64504383889982</c:v>
                </c:pt>
                <c:pt idx="26">
                  <c:v>-611.91018125348444</c:v>
                </c:pt>
                <c:pt idx="27">
                  <c:v>-586.17531866806917</c:v>
                </c:pt>
                <c:pt idx="28">
                  <c:v>-560.44045608265378</c:v>
                </c:pt>
                <c:pt idx="29">
                  <c:v>-534.70559349723851</c:v>
                </c:pt>
                <c:pt idx="30">
                  <c:v>-508.97073091182324</c:v>
                </c:pt>
                <c:pt idx="31">
                  <c:v>-483.23586832640785</c:v>
                </c:pt>
                <c:pt idx="32">
                  <c:v>-457.50100574099247</c:v>
                </c:pt>
                <c:pt idx="33">
                  <c:v>-431.76614315557714</c:v>
                </c:pt>
                <c:pt idx="34">
                  <c:v>-406.03128057016175</c:v>
                </c:pt>
                <c:pt idx="35">
                  <c:v>-380.29641798474654</c:v>
                </c:pt>
                <c:pt idx="36">
                  <c:v>-354.56155539933116</c:v>
                </c:pt>
                <c:pt idx="37">
                  <c:v>-328.82669281391577</c:v>
                </c:pt>
                <c:pt idx="38">
                  <c:v>-303.09183022850056</c:v>
                </c:pt>
                <c:pt idx="39">
                  <c:v>-277.35696764308517</c:v>
                </c:pt>
                <c:pt idx="40">
                  <c:v>-251.62210505766981</c:v>
                </c:pt>
                <c:pt idx="41">
                  <c:v>-225.88724247225443</c:v>
                </c:pt>
                <c:pt idx="42">
                  <c:v>-200.15237988683907</c:v>
                </c:pt>
                <c:pt idx="43">
                  <c:v>-174.41751730142371</c:v>
                </c:pt>
                <c:pt idx="44">
                  <c:v>-148.68265471600859</c:v>
                </c:pt>
                <c:pt idx="45">
                  <c:v>-122.94779213059321</c:v>
                </c:pt>
                <c:pt idx="46">
                  <c:v>-97.212929545177843</c:v>
                </c:pt>
                <c:pt idx="47">
                  <c:v>-71.478066959762486</c:v>
                </c:pt>
                <c:pt idx="48">
                  <c:v>-45.743204374347116</c:v>
                </c:pt>
                <c:pt idx="49">
                  <c:v>-20.008341788931748</c:v>
                </c:pt>
                <c:pt idx="50">
                  <c:v>5.7265207964836158</c:v>
                </c:pt>
                <c:pt idx="51">
                  <c:v>31.46138338189898</c:v>
                </c:pt>
                <c:pt idx="52">
                  <c:v>57.196245967314347</c:v>
                </c:pt>
                <c:pt idx="53">
                  <c:v>82.931108552729484</c:v>
                </c:pt>
                <c:pt idx="54">
                  <c:v>108.66597113814484</c:v>
                </c:pt>
                <c:pt idx="55">
                  <c:v>134.4008337235602</c:v>
                </c:pt>
                <c:pt idx="56">
                  <c:v>160.13569630897558</c:v>
                </c:pt>
                <c:pt idx="57">
                  <c:v>185.87055889439094</c:v>
                </c:pt>
                <c:pt idx="58">
                  <c:v>211.6054214798063</c:v>
                </c:pt>
                <c:pt idx="59">
                  <c:v>237.34028406522168</c:v>
                </c:pt>
                <c:pt idx="60">
                  <c:v>263.07514665063678</c:v>
                </c:pt>
                <c:pt idx="61">
                  <c:v>288.81000923605217</c:v>
                </c:pt>
                <c:pt idx="62">
                  <c:v>314.54487182146755</c:v>
                </c:pt>
                <c:pt idx="63">
                  <c:v>340.27973440688288</c:v>
                </c:pt>
                <c:pt idx="64">
                  <c:v>366.01459699229827</c:v>
                </c:pt>
                <c:pt idx="65">
                  <c:v>391.74945957771365</c:v>
                </c:pt>
                <c:pt idx="66">
                  <c:v>417.48432216312898</c:v>
                </c:pt>
                <c:pt idx="67">
                  <c:v>443.21918474854436</c:v>
                </c:pt>
                <c:pt idx="68">
                  <c:v>468.95404733395975</c:v>
                </c:pt>
                <c:pt idx="69">
                  <c:v>494.68890991937485</c:v>
                </c:pt>
                <c:pt idx="70">
                  <c:v>520.42377250479024</c:v>
                </c:pt>
                <c:pt idx="71">
                  <c:v>546.15863509020562</c:v>
                </c:pt>
                <c:pt idx="72">
                  <c:v>571.89349767562101</c:v>
                </c:pt>
                <c:pt idx="73">
                  <c:v>597.62836026103628</c:v>
                </c:pt>
                <c:pt idx="74">
                  <c:v>623.36322284645166</c:v>
                </c:pt>
                <c:pt idx="75">
                  <c:v>649.09808543186705</c:v>
                </c:pt>
                <c:pt idx="76">
                  <c:v>674.83294801728221</c:v>
                </c:pt>
                <c:pt idx="77">
                  <c:v>700.56781060269759</c:v>
                </c:pt>
                <c:pt idx="78">
                  <c:v>726.30267318811286</c:v>
                </c:pt>
                <c:pt idx="79">
                  <c:v>752.03753577352825</c:v>
                </c:pt>
                <c:pt idx="80">
                  <c:v>777.77239835894363</c:v>
                </c:pt>
                <c:pt idx="81">
                  <c:v>803.50726094435902</c:v>
                </c:pt>
                <c:pt idx="82">
                  <c:v>829.2421235297744</c:v>
                </c:pt>
                <c:pt idx="83">
                  <c:v>854.97698611518945</c:v>
                </c:pt>
                <c:pt idx="84">
                  <c:v>880.71184870060506</c:v>
                </c:pt>
                <c:pt idx="85">
                  <c:v>906.44671128602022</c:v>
                </c:pt>
                <c:pt idx="86">
                  <c:v>932.18157387143583</c:v>
                </c:pt>
                <c:pt idx="87">
                  <c:v>957.91643645685099</c:v>
                </c:pt>
                <c:pt idx="88">
                  <c:v>983.65129904226615</c:v>
                </c:pt>
                <c:pt idx="89">
                  <c:v>1009.3861616276816</c:v>
                </c:pt>
                <c:pt idx="90">
                  <c:v>1035.1210242130969</c:v>
                </c:pt>
                <c:pt idx="91">
                  <c:v>1060.8558867985125</c:v>
                </c:pt>
                <c:pt idx="92">
                  <c:v>1086.5907493839275</c:v>
                </c:pt>
                <c:pt idx="93">
                  <c:v>1112.3256119693431</c:v>
                </c:pt>
                <c:pt idx="94">
                  <c:v>1138.0604745547582</c:v>
                </c:pt>
                <c:pt idx="95">
                  <c:v>1163.7953371401738</c:v>
                </c:pt>
                <c:pt idx="96">
                  <c:v>1189.530199725589</c:v>
                </c:pt>
                <c:pt idx="97">
                  <c:v>1215.2650623110042</c:v>
                </c:pt>
                <c:pt idx="98">
                  <c:v>1240.9999248964198</c:v>
                </c:pt>
                <c:pt idx="99">
                  <c:v>1266.7347874818349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898.93228181041604</c:v>
                </c:pt>
                <c:pt idx="1">
                  <c:v>898.93228181041604</c:v>
                </c:pt>
                <c:pt idx="2">
                  <c:v>898.93228181041604</c:v>
                </c:pt>
                <c:pt idx="3">
                  <c:v>898.93816875701759</c:v>
                </c:pt>
                <c:pt idx="4">
                  <c:v>898.97171715177876</c:v>
                </c:pt>
                <c:pt idx="5">
                  <c:v>899.03496375275643</c:v>
                </c:pt>
                <c:pt idx="6">
                  <c:v>899.12790855995081</c:v>
                </c:pt>
                <c:pt idx="7">
                  <c:v>899.25055157336158</c:v>
                </c:pt>
                <c:pt idx="8">
                  <c:v>899.40289279298906</c:v>
                </c:pt>
                <c:pt idx="9">
                  <c:v>899.58493221883305</c:v>
                </c:pt>
                <c:pt idx="10">
                  <c:v>899.79666985089352</c:v>
                </c:pt>
                <c:pt idx="11">
                  <c:v>900.03810568917072</c:v>
                </c:pt>
                <c:pt idx="12">
                  <c:v>900.30923973366441</c:v>
                </c:pt>
                <c:pt idx="13">
                  <c:v>900.61007198437483</c:v>
                </c:pt>
                <c:pt idx="14">
                  <c:v>900.94060244130162</c:v>
                </c:pt>
                <c:pt idx="15">
                  <c:v>901.30083110444502</c:v>
                </c:pt>
                <c:pt idx="16">
                  <c:v>901.69075797380503</c:v>
                </c:pt>
                <c:pt idx="17">
                  <c:v>902.11038304938165</c:v>
                </c:pt>
                <c:pt idx="18">
                  <c:v>902.55970633117477</c:v>
                </c:pt>
                <c:pt idx="19">
                  <c:v>903.0387278191846</c:v>
                </c:pt>
                <c:pt idx="20">
                  <c:v>903.54744751341093</c:v>
                </c:pt>
                <c:pt idx="21">
                  <c:v>904.08586541385375</c:v>
                </c:pt>
                <c:pt idx="22">
                  <c:v>904.6539815205133</c:v>
                </c:pt>
                <c:pt idx="23">
                  <c:v>905.25179583338934</c:v>
                </c:pt>
                <c:pt idx="24">
                  <c:v>905.87930835248187</c:v>
                </c:pt>
                <c:pt idx="25">
                  <c:v>906.53651907779113</c:v>
                </c:pt>
                <c:pt idx="26">
                  <c:v>907.22342800931688</c:v>
                </c:pt>
                <c:pt idx="27">
                  <c:v>907.94003514705935</c:v>
                </c:pt>
                <c:pt idx="28">
                  <c:v>908.68634049101831</c:v>
                </c:pt>
                <c:pt idx="29">
                  <c:v>909.46234404119377</c:v>
                </c:pt>
                <c:pt idx="30">
                  <c:v>910.26804579758573</c:v>
                </c:pt>
                <c:pt idx="31">
                  <c:v>911.1034457601944</c:v>
                </c:pt>
                <c:pt idx="32">
                  <c:v>911.96854392901969</c:v>
                </c:pt>
                <c:pt idx="33">
                  <c:v>912.86334030406158</c:v>
                </c:pt>
                <c:pt idx="34">
                  <c:v>913.78783488531985</c:v>
                </c:pt>
                <c:pt idx="35">
                  <c:v>914.74202767279473</c:v>
                </c:pt>
                <c:pt idx="36">
                  <c:v>915.72591866648622</c:v>
                </c:pt>
                <c:pt idx="37">
                  <c:v>916.73950786639443</c:v>
                </c:pt>
                <c:pt idx="38">
                  <c:v>917.78279527251914</c:v>
                </c:pt>
                <c:pt idx="39">
                  <c:v>918.85578088486034</c:v>
                </c:pt>
                <c:pt idx="40">
                  <c:v>919.95846470341814</c:v>
                </c:pt>
                <c:pt idx="41">
                  <c:v>921.09084672819267</c:v>
                </c:pt>
                <c:pt idx="42">
                  <c:v>922.25292695918358</c:v>
                </c:pt>
                <c:pt idx="43">
                  <c:v>923.4447053963911</c:v>
                </c:pt>
                <c:pt idx="44">
                  <c:v>924.66618203981523</c:v>
                </c:pt>
                <c:pt idx="45">
                  <c:v>925.91735688945596</c:v>
                </c:pt>
                <c:pt idx="46">
                  <c:v>927.19822994531319</c:v>
                </c:pt>
                <c:pt idx="47">
                  <c:v>928.51646220595433</c:v>
                </c:pt>
                <c:pt idx="48">
                  <c:v>929.94801193211504</c:v>
                </c:pt>
                <c:pt idx="49">
                  <c:v>931.51233798719613</c:v>
                </c:pt>
                <c:pt idx="50">
                  <c:v>933.20944037119762</c:v>
                </c:pt>
                <c:pt idx="51">
                  <c:v>935.03931908411948</c:v>
                </c:pt>
                <c:pt idx="52">
                  <c:v>937.00197412596174</c:v>
                </c:pt>
                <c:pt idx="53">
                  <c:v>939.09740549672438</c:v>
                </c:pt>
                <c:pt idx="54">
                  <c:v>941.32561319640729</c:v>
                </c:pt>
                <c:pt idx="55">
                  <c:v>943.6865972250107</c:v>
                </c:pt>
                <c:pt idx="56">
                  <c:v>946.1803575825345</c:v>
                </c:pt>
                <c:pt idx="57">
                  <c:v>948.80689426897868</c:v>
                </c:pt>
                <c:pt idx="58">
                  <c:v>951.56620728434325</c:v>
                </c:pt>
                <c:pt idx="59">
                  <c:v>954.4582966286282</c:v>
                </c:pt>
                <c:pt idx="60">
                  <c:v>957.48316230183343</c:v>
                </c:pt>
                <c:pt idx="61">
                  <c:v>960.64080430395916</c:v>
                </c:pt>
                <c:pt idx="62">
                  <c:v>963.93122263500516</c:v>
                </c:pt>
                <c:pt idx="63">
                  <c:v>967.35441729497165</c:v>
                </c:pt>
                <c:pt idx="64">
                  <c:v>970.91038828385842</c:v>
                </c:pt>
                <c:pt idx="65">
                  <c:v>974.59913560166558</c:v>
                </c:pt>
                <c:pt idx="66">
                  <c:v>978.42065924839324</c:v>
                </c:pt>
                <c:pt idx="67">
                  <c:v>982.37495922404116</c:v>
                </c:pt>
                <c:pt idx="68">
                  <c:v>986.46203552860948</c:v>
                </c:pt>
                <c:pt idx="69">
                  <c:v>990.68188816209829</c:v>
                </c:pt>
                <c:pt idx="70">
                  <c:v>995.03451712450737</c:v>
                </c:pt>
                <c:pt idx="71">
                  <c:v>999.51992241583696</c:v>
                </c:pt>
                <c:pt idx="72">
                  <c:v>1004.1381040360868</c:v>
                </c:pt>
                <c:pt idx="73">
                  <c:v>1008.8890619852571</c:v>
                </c:pt>
                <c:pt idx="74">
                  <c:v>1013.7727962633477</c:v>
                </c:pt>
                <c:pt idx="75">
                  <c:v>1018.7893068703588</c:v>
                </c:pt>
                <c:pt idx="76">
                  <c:v>1023.9385938062901</c:v>
                </c:pt>
                <c:pt idx="77">
                  <c:v>1029.2206570711419</c:v>
                </c:pt>
                <c:pt idx="78">
                  <c:v>1034.6354966649142</c:v>
                </c:pt>
                <c:pt idx="79">
                  <c:v>1040.1831125876067</c:v>
                </c:pt>
                <c:pt idx="80">
                  <c:v>1045.8635048392196</c:v>
                </c:pt>
                <c:pt idx="81">
                  <c:v>1051.6766734197529</c:v>
                </c:pt>
                <c:pt idx="82">
                  <c:v>1057.6226183292067</c:v>
                </c:pt>
                <c:pt idx="83">
                  <c:v>1063.7013395675808</c:v>
                </c:pt>
                <c:pt idx="84">
                  <c:v>1069.9128371348752</c:v>
                </c:pt>
                <c:pt idx="85">
                  <c:v>1076.2571110310898</c:v>
                </c:pt>
                <c:pt idx="86">
                  <c:v>1082.7341612562252</c:v>
                </c:pt>
                <c:pt idx="87">
                  <c:v>1089.3439878102809</c:v>
                </c:pt>
                <c:pt idx="88">
                  <c:v>1096.0865906932568</c:v>
                </c:pt>
                <c:pt idx="89">
                  <c:v>1102.9619699051532</c:v>
                </c:pt>
                <c:pt idx="90">
                  <c:v>1109.9701254459699</c:v>
                </c:pt>
                <c:pt idx="91">
                  <c:v>1117.1110573157073</c:v>
                </c:pt>
                <c:pt idx="92">
                  <c:v>1124.3847655143645</c:v>
                </c:pt>
                <c:pt idx="93">
                  <c:v>1131.7912500419425</c:v>
                </c:pt>
                <c:pt idx="94">
                  <c:v>1139.3305108984409</c:v>
                </c:pt>
                <c:pt idx="95">
                  <c:v>1147.0025480838594</c:v>
                </c:pt>
                <c:pt idx="96">
                  <c:v>1154.8073615981984</c:v>
                </c:pt>
                <c:pt idx="97">
                  <c:v>1162.7449514414579</c:v>
                </c:pt>
                <c:pt idx="98">
                  <c:v>1170.8153176136377</c:v>
                </c:pt>
                <c:pt idx="99">
                  <c:v>1179.018460114738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-1266.1517558816047</c:v>
                </c:pt>
                <c:pt idx="1">
                  <c:v>-1240.510114365394</c:v>
                </c:pt>
                <c:pt idx="2">
                  <c:v>-1214.8684728491833</c:v>
                </c:pt>
                <c:pt idx="3">
                  <c:v>-1189.2268313329726</c:v>
                </c:pt>
                <c:pt idx="4">
                  <c:v>-1163.5851898167618</c:v>
                </c:pt>
                <c:pt idx="5">
                  <c:v>-1137.9435483005511</c:v>
                </c:pt>
                <c:pt idx="6">
                  <c:v>-1112.3019067843402</c:v>
                </c:pt>
                <c:pt idx="7">
                  <c:v>-1086.6602652681297</c:v>
                </c:pt>
                <c:pt idx="8">
                  <c:v>-1061.018623751919</c:v>
                </c:pt>
                <c:pt idx="9">
                  <c:v>-1035.3769822357083</c:v>
                </c:pt>
                <c:pt idx="10">
                  <c:v>-1009.7353407194976</c:v>
                </c:pt>
                <c:pt idx="11">
                  <c:v>-984.09369920328675</c:v>
                </c:pt>
                <c:pt idx="12">
                  <c:v>-958.45205768707604</c:v>
                </c:pt>
                <c:pt idx="13">
                  <c:v>-932.81041617086532</c:v>
                </c:pt>
                <c:pt idx="14">
                  <c:v>-907.1687746546545</c:v>
                </c:pt>
                <c:pt idx="15">
                  <c:v>-881.52713313844379</c:v>
                </c:pt>
                <c:pt idx="16">
                  <c:v>-855.88549162223308</c:v>
                </c:pt>
                <c:pt idx="17">
                  <c:v>-830.24385010602236</c:v>
                </c:pt>
                <c:pt idx="18">
                  <c:v>-804.60220858981165</c:v>
                </c:pt>
                <c:pt idx="19">
                  <c:v>-778.96056707360094</c:v>
                </c:pt>
                <c:pt idx="20">
                  <c:v>-753.31892555739023</c:v>
                </c:pt>
                <c:pt idx="21">
                  <c:v>-727.6772840411794</c:v>
                </c:pt>
                <c:pt idx="22">
                  <c:v>-702.03564252496869</c:v>
                </c:pt>
                <c:pt idx="23">
                  <c:v>-676.3940010087581</c:v>
                </c:pt>
                <c:pt idx="24">
                  <c:v>-650.75235949254738</c:v>
                </c:pt>
                <c:pt idx="25">
                  <c:v>-625.11071797633656</c:v>
                </c:pt>
                <c:pt idx="26">
                  <c:v>-599.46907646012585</c:v>
                </c:pt>
                <c:pt idx="27">
                  <c:v>-573.82743494391514</c:v>
                </c:pt>
                <c:pt idx="28">
                  <c:v>-548.18579342770431</c:v>
                </c:pt>
                <c:pt idx="29">
                  <c:v>-522.54415191149371</c:v>
                </c:pt>
                <c:pt idx="30">
                  <c:v>-496.902510395283</c:v>
                </c:pt>
                <c:pt idx="31">
                  <c:v>-471.26086887907223</c:v>
                </c:pt>
                <c:pt idx="32">
                  <c:v>-445.61922736286152</c:v>
                </c:pt>
                <c:pt idx="33">
                  <c:v>-419.97758584665075</c:v>
                </c:pt>
                <c:pt idx="34">
                  <c:v>-394.33594433044004</c:v>
                </c:pt>
                <c:pt idx="35">
                  <c:v>-368.69430281422927</c:v>
                </c:pt>
                <c:pt idx="36">
                  <c:v>-343.05266129801862</c:v>
                </c:pt>
                <c:pt idx="37">
                  <c:v>-317.41101978180791</c:v>
                </c:pt>
                <c:pt idx="38">
                  <c:v>-291.76937826559714</c:v>
                </c:pt>
                <c:pt idx="39">
                  <c:v>-266.12773674938643</c:v>
                </c:pt>
                <c:pt idx="40">
                  <c:v>-240.48609523317566</c:v>
                </c:pt>
                <c:pt idx="41">
                  <c:v>-214.84445371696492</c:v>
                </c:pt>
                <c:pt idx="42">
                  <c:v>-189.20281220075418</c:v>
                </c:pt>
                <c:pt idx="43">
                  <c:v>-163.56117068454344</c:v>
                </c:pt>
                <c:pt idx="44">
                  <c:v>-137.9195291683327</c:v>
                </c:pt>
                <c:pt idx="45">
                  <c:v>-112.27788765212219</c:v>
                </c:pt>
                <c:pt idx="46">
                  <c:v>-86.636246135911435</c:v>
                </c:pt>
                <c:pt idx="47">
                  <c:v>-60.994604619700695</c:v>
                </c:pt>
                <c:pt idx="48">
                  <c:v>-35.352963103489948</c:v>
                </c:pt>
                <c:pt idx="49">
                  <c:v>-9.7113215872792065</c:v>
                </c:pt>
                <c:pt idx="50">
                  <c:v>15.930319928931539</c:v>
                </c:pt>
                <c:pt idx="51">
                  <c:v>41.571961445142286</c:v>
                </c:pt>
                <c:pt idx="52">
                  <c:v>67.213602961353033</c:v>
                </c:pt>
                <c:pt idx="53">
                  <c:v>92.855244477563772</c:v>
                </c:pt>
                <c:pt idx="54">
                  <c:v>118.49688599377451</c:v>
                </c:pt>
                <c:pt idx="55">
                  <c:v>144.13852750998527</c:v>
                </c:pt>
                <c:pt idx="56">
                  <c:v>169.78016902619601</c:v>
                </c:pt>
                <c:pt idx="57">
                  <c:v>195.42181054240675</c:v>
                </c:pt>
                <c:pt idx="58">
                  <c:v>221.06345205861726</c:v>
                </c:pt>
                <c:pt idx="59">
                  <c:v>246.705093574828</c:v>
                </c:pt>
                <c:pt idx="60">
                  <c:v>272.34673509103874</c:v>
                </c:pt>
                <c:pt idx="61">
                  <c:v>297.98837660724951</c:v>
                </c:pt>
                <c:pt idx="62">
                  <c:v>323.63001812346022</c:v>
                </c:pt>
                <c:pt idx="63">
                  <c:v>349.27165963967099</c:v>
                </c:pt>
                <c:pt idx="64">
                  <c:v>374.9133011558817</c:v>
                </c:pt>
                <c:pt idx="65">
                  <c:v>400.55494267209247</c:v>
                </c:pt>
                <c:pt idx="66">
                  <c:v>426.19658418830323</c:v>
                </c:pt>
                <c:pt idx="67">
                  <c:v>451.83822570451395</c:v>
                </c:pt>
                <c:pt idx="68">
                  <c:v>477.47986722072471</c:v>
                </c:pt>
                <c:pt idx="69">
                  <c:v>503.12150873693543</c:v>
                </c:pt>
                <c:pt idx="70">
                  <c:v>528.76315025314614</c:v>
                </c:pt>
                <c:pt idx="71">
                  <c:v>554.40479176935673</c:v>
                </c:pt>
                <c:pt idx="72">
                  <c:v>580.04643328556745</c:v>
                </c:pt>
                <c:pt idx="73">
                  <c:v>605.68807480177816</c:v>
                </c:pt>
                <c:pt idx="74">
                  <c:v>631.32971631798898</c:v>
                </c:pt>
                <c:pt idx="75">
                  <c:v>656.97135783419969</c:v>
                </c:pt>
                <c:pt idx="76">
                  <c:v>682.6129993504104</c:v>
                </c:pt>
                <c:pt idx="77">
                  <c:v>708.25464086662112</c:v>
                </c:pt>
                <c:pt idx="78">
                  <c:v>733.89628238283194</c:v>
                </c:pt>
                <c:pt idx="79">
                  <c:v>759.53792389904265</c:v>
                </c:pt>
                <c:pt idx="80">
                  <c:v>785.17956541525336</c:v>
                </c:pt>
                <c:pt idx="81">
                  <c:v>810.82120693146419</c:v>
                </c:pt>
                <c:pt idx="82">
                  <c:v>836.4628484476749</c:v>
                </c:pt>
                <c:pt idx="83">
                  <c:v>862.10448996388538</c:v>
                </c:pt>
                <c:pt idx="84">
                  <c:v>887.74613148009632</c:v>
                </c:pt>
                <c:pt idx="85">
                  <c:v>913.38777299630692</c:v>
                </c:pt>
                <c:pt idx="86">
                  <c:v>939.02941451251786</c:v>
                </c:pt>
                <c:pt idx="87">
                  <c:v>964.67105602872834</c:v>
                </c:pt>
                <c:pt idx="88">
                  <c:v>990.3126975449394</c:v>
                </c:pt>
                <c:pt idx="89">
                  <c:v>1015.9543390611499</c:v>
                </c:pt>
                <c:pt idx="90">
                  <c:v>1041.5959805773605</c:v>
                </c:pt>
                <c:pt idx="91">
                  <c:v>1067.2376220935714</c:v>
                </c:pt>
                <c:pt idx="92">
                  <c:v>1092.8792636097819</c:v>
                </c:pt>
                <c:pt idx="93">
                  <c:v>1118.5209051259928</c:v>
                </c:pt>
                <c:pt idx="94">
                  <c:v>1144.1625466422033</c:v>
                </c:pt>
                <c:pt idx="95">
                  <c:v>1169.8041881584143</c:v>
                </c:pt>
                <c:pt idx="96">
                  <c:v>1195.4458296746247</c:v>
                </c:pt>
                <c:pt idx="97">
                  <c:v>1221.0874711908359</c:v>
                </c:pt>
                <c:pt idx="98">
                  <c:v>1246.7291127070464</c:v>
                </c:pt>
                <c:pt idx="99">
                  <c:v>1272.3707542232571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-99.414965428986932</c:v>
                </c:pt>
                <c:pt idx="1">
                  <c:v>-99.414965428986932</c:v>
                </c:pt>
                <c:pt idx="2">
                  <c:v>-99.414965428986932</c:v>
                </c:pt>
                <c:pt idx="3">
                  <c:v>-99.395708164649591</c:v>
                </c:pt>
                <c:pt idx="4">
                  <c:v>-99.290558241181159</c:v>
                </c:pt>
                <c:pt idx="5">
                  <c:v>-99.093864687685411</c:v>
                </c:pt>
                <c:pt idx="6">
                  <c:v>-98.805627504162359</c:v>
                </c:pt>
                <c:pt idx="7">
                  <c:v>-98.425846690612005</c:v>
                </c:pt>
                <c:pt idx="8">
                  <c:v>-97.954522247034348</c:v>
                </c:pt>
                <c:pt idx="9">
                  <c:v>-97.391654173429387</c:v>
                </c:pt>
                <c:pt idx="10">
                  <c:v>-96.737242469797124</c:v>
                </c:pt>
                <c:pt idx="11">
                  <c:v>-95.991287136137558</c:v>
                </c:pt>
                <c:pt idx="12">
                  <c:v>-95.153788172450675</c:v>
                </c:pt>
                <c:pt idx="13">
                  <c:v>-94.224745578736503</c:v>
                </c:pt>
                <c:pt idx="14">
                  <c:v>-93.204159354995014</c:v>
                </c:pt>
                <c:pt idx="15">
                  <c:v>-92.092029501226236</c:v>
                </c:pt>
                <c:pt idx="16">
                  <c:v>-90.888356017430141</c:v>
                </c:pt>
                <c:pt idx="17">
                  <c:v>-89.593138903606729</c:v>
                </c:pt>
                <c:pt idx="18">
                  <c:v>-88.206378159756042</c:v>
                </c:pt>
                <c:pt idx="19">
                  <c:v>-86.728073785878038</c:v>
                </c:pt>
                <c:pt idx="20">
                  <c:v>-85.158225781972746</c:v>
                </c:pt>
                <c:pt idx="21">
                  <c:v>-83.496834148040122</c:v>
                </c:pt>
                <c:pt idx="22">
                  <c:v>-81.74389888408021</c:v>
                </c:pt>
                <c:pt idx="23">
                  <c:v>-79.899419990092994</c:v>
                </c:pt>
                <c:pt idx="24">
                  <c:v>-77.96339746607849</c:v>
                </c:pt>
                <c:pt idx="25">
                  <c:v>-75.935831312036655</c:v>
                </c:pt>
                <c:pt idx="26">
                  <c:v>-73.816721527967516</c:v>
                </c:pt>
                <c:pt idx="27">
                  <c:v>-71.606068113871075</c:v>
                </c:pt>
                <c:pt idx="28">
                  <c:v>-69.303871069747331</c:v>
                </c:pt>
                <c:pt idx="29">
                  <c:v>-66.910130395596298</c:v>
                </c:pt>
                <c:pt idx="30">
                  <c:v>-64.424846091417947</c:v>
                </c:pt>
                <c:pt idx="31">
                  <c:v>-61.848018157212302</c:v>
                </c:pt>
                <c:pt idx="32">
                  <c:v>-59.179646592979338</c:v>
                </c:pt>
                <c:pt idx="33">
                  <c:v>-56.41973139871908</c:v>
                </c:pt>
                <c:pt idx="34">
                  <c:v>-53.568272574431518</c:v>
                </c:pt>
                <c:pt idx="35">
                  <c:v>-50.625270120116646</c:v>
                </c:pt>
                <c:pt idx="36">
                  <c:v>-47.590724035774485</c:v>
                </c:pt>
                <c:pt idx="37">
                  <c:v>-44.464634321405008</c:v>
                </c:pt>
                <c:pt idx="38">
                  <c:v>-41.247000977008227</c:v>
                </c:pt>
                <c:pt idx="39">
                  <c:v>-37.937824002584136</c:v>
                </c:pt>
                <c:pt idx="40">
                  <c:v>-34.53710339813275</c:v>
                </c:pt>
                <c:pt idx="41">
                  <c:v>-31.044839163654053</c:v>
                </c:pt>
                <c:pt idx="42">
                  <c:v>-27.461031299148054</c:v>
                </c:pt>
                <c:pt idx="43">
                  <c:v>-23.785679804614752</c:v>
                </c:pt>
                <c:pt idx="44">
                  <c:v>-20.018784680054146</c:v>
                </c:pt>
                <c:pt idx="45">
                  <c:v>-16.160345925466267</c:v>
                </c:pt>
                <c:pt idx="46">
                  <c:v>-12.210363540851052</c:v>
                </c:pt>
                <c:pt idx="47">
                  <c:v>-8.1429322587315323</c:v>
                </c:pt>
                <c:pt idx="48">
                  <c:v>-3.9038506799007009</c:v>
                </c:pt>
                <c:pt idx="49">
                  <c:v>0.50858703510840564</c:v>
                </c:pt>
                <c:pt idx="50">
                  <c:v>5.0943808862957862</c:v>
                </c:pt>
                <c:pt idx="51">
                  <c:v>9.8535308736614411</c:v>
                </c:pt>
                <c:pt idx="52">
                  <c:v>14.786036997205374</c:v>
                </c:pt>
                <c:pt idx="53">
                  <c:v>19.891899256927577</c:v>
                </c:pt>
                <c:pt idx="54">
                  <c:v>25.171117652828055</c:v>
                </c:pt>
                <c:pt idx="55">
                  <c:v>30.623692184906812</c:v>
                </c:pt>
                <c:pt idx="56">
                  <c:v>36.249622853163835</c:v>
                </c:pt>
                <c:pt idx="57">
                  <c:v>42.04890965759914</c:v>
                </c:pt>
                <c:pt idx="58">
                  <c:v>48.021552598212665</c:v>
                </c:pt>
                <c:pt idx="59">
                  <c:v>54.167551675004511</c:v>
                </c:pt>
                <c:pt idx="60">
                  <c:v>60.486906887974641</c:v>
                </c:pt>
                <c:pt idx="61">
                  <c:v>66.979618237123049</c:v>
                </c:pt>
                <c:pt idx="62">
                  <c:v>73.645685722449727</c:v>
                </c:pt>
                <c:pt idx="63">
                  <c:v>80.485109343954676</c:v>
                </c:pt>
                <c:pt idx="64">
                  <c:v>87.497889101637895</c:v>
                </c:pt>
                <c:pt idx="65">
                  <c:v>94.684024995499385</c:v>
                </c:pt>
                <c:pt idx="66">
                  <c:v>102.04351702553917</c:v>
                </c:pt>
                <c:pt idx="67">
                  <c:v>109.57636519175722</c:v>
                </c:pt>
                <c:pt idx="68">
                  <c:v>117.28256949415353</c:v>
                </c:pt>
                <c:pt idx="69">
                  <c:v>125.16212993272813</c:v>
                </c:pt>
                <c:pt idx="70">
                  <c:v>133.21504650748102</c:v>
                </c:pt>
                <c:pt idx="71">
                  <c:v>141.44131921841208</c:v>
                </c:pt>
                <c:pt idx="72">
                  <c:v>149.84094806552147</c:v>
                </c:pt>
                <c:pt idx="73">
                  <c:v>158.41393304880918</c:v>
                </c:pt>
                <c:pt idx="74">
                  <c:v>167.16027416827515</c:v>
                </c:pt>
                <c:pt idx="75">
                  <c:v>176.0799714239194</c:v>
                </c:pt>
                <c:pt idx="76">
                  <c:v>185.17302481574191</c:v>
                </c:pt>
                <c:pt idx="77">
                  <c:v>194.4394343437427</c:v>
                </c:pt>
                <c:pt idx="78">
                  <c:v>203.87920000792178</c:v>
                </c:pt>
                <c:pt idx="79">
                  <c:v>213.49232180827912</c:v>
                </c:pt>
                <c:pt idx="80">
                  <c:v>223.27879974481473</c:v>
                </c:pt>
                <c:pt idx="81">
                  <c:v>233.23863381752864</c:v>
                </c:pt>
                <c:pt idx="82">
                  <c:v>243.37182402642082</c:v>
                </c:pt>
                <c:pt idx="83">
                  <c:v>253.67837037149113</c:v>
                </c:pt>
                <c:pt idx="84">
                  <c:v>264.15827285273997</c:v>
                </c:pt>
                <c:pt idx="85">
                  <c:v>274.81153147016687</c:v>
                </c:pt>
                <c:pt idx="86">
                  <c:v>285.63814622377225</c:v>
                </c:pt>
                <c:pt idx="87">
                  <c:v>296.63811711355572</c:v>
                </c:pt>
                <c:pt idx="88">
                  <c:v>307.81144413951762</c:v>
                </c:pt>
                <c:pt idx="89">
                  <c:v>319.15812730165754</c:v>
                </c:pt>
                <c:pt idx="90">
                  <c:v>330.67816659997584</c:v>
                </c:pt>
                <c:pt idx="91">
                  <c:v>342.37156203447256</c:v>
                </c:pt>
                <c:pt idx="92">
                  <c:v>354.23831360514737</c:v>
                </c:pt>
                <c:pt idx="93">
                  <c:v>366.27842131200072</c:v>
                </c:pt>
                <c:pt idx="94">
                  <c:v>378.49188515503198</c:v>
                </c:pt>
                <c:pt idx="95">
                  <c:v>390.8787051342419</c:v>
                </c:pt>
                <c:pt idx="96">
                  <c:v>403.43888124962979</c:v>
                </c:pt>
                <c:pt idx="97">
                  <c:v>416.17241350119616</c:v>
                </c:pt>
                <c:pt idx="98">
                  <c:v>429.07930188894068</c:v>
                </c:pt>
                <c:pt idx="99">
                  <c:v>442.15954641286345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-1266.1517558816047</c:v>
                </c:pt>
                <c:pt idx="1">
                  <c:v>-1240.510114365394</c:v>
                </c:pt>
                <c:pt idx="2">
                  <c:v>-1214.8684728491833</c:v>
                </c:pt>
                <c:pt idx="3">
                  <c:v>-1189.2268313329726</c:v>
                </c:pt>
                <c:pt idx="4">
                  <c:v>-1163.5851898167618</c:v>
                </c:pt>
                <c:pt idx="5">
                  <c:v>-1137.9435483005511</c:v>
                </c:pt>
                <c:pt idx="6">
                  <c:v>-1112.3019067843402</c:v>
                </c:pt>
                <c:pt idx="7">
                  <c:v>-1086.6602652681297</c:v>
                </c:pt>
                <c:pt idx="8">
                  <c:v>-1061.018623751919</c:v>
                </c:pt>
                <c:pt idx="9">
                  <c:v>-1035.3769822357083</c:v>
                </c:pt>
                <c:pt idx="10">
                  <c:v>-1009.7353407194976</c:v>
                </c:pt>
                <c:pt idx="11">
                  <c:v>-984.09369920328675</c:v>
                </c:pt>
                <c:pt idx="12">
                  <c:v>-958.45205768707604</c:v>
                </c:pt>
                <c:pt idx="13">
                  <c:v>-932.81041617086532</c:v>
                </c:pt>
                <c:pt idx="14">
                  <c:v>-907.1687746546545</c:v>
                </c:pt>
                <c:pt idx="15">
                  <c:v>-881.52713313844379</c:v>
                </c:pt>
                <c:pt idx="16">
                  <c:v>-855.88549162223308</c:v>
                </c:pt>
                <c:pt idx="17">
                  <c:v>-830.24385010602236</c:v>
                </c:pt>
                <c:pt idx="18">
                  <c:v>-804.60220858981165</c:v>
                </c:pt>
                <c:pt idx="19">
                  <c:v>-778.96056707360094</c:v>
                </c:pt>
                <c:pt idx="20">
                  <c:v>-753.31892555739023</c:v>
                </c:pt>
                <c:pt idx="21">
                  <c:v>-727.6772840411794</c:v>
                </c:pt>
                <c:pt idx="22">
                  <c:v>-702.03564252496869</c:v>
                </c:pt>
                <c:pt idx="23">
                  <c:v>-676.3940010087581</c:v>
                </c:pt>
                <c:pt idx="24">
                  <c:v>-650.75235949254738</c:v>
                </c:pt>
                <c:pt idx="25">
                  <c:v>-625.11071797633656</c:v>
                </c:pt>
                <c:pt idx="26">
                  <c:v>-599.46907646012585</c:v>
                </c:pt>
                <c:pt idx="27">
                  <c:v>-573.82743494391514</c:v>
                </c:pt>
                <c:pt idx="28">
                  <c:v>-548.18579342770431</c:v>
                </c:pt>
                <c:pt idx="29">
                  <c:v>-522.54415191149371</c:v>
                </c:pt>
                <c:pt idx="30">
                  <c:v>-496.902510395283</c:v>
                </c:pt>
                <c:pt idx="31">
                  <c:v>-471.26086887907223</c:v>
                </c:pt>
                <c:pt idx="32">
                  <c:v>-445.61922736286152</c:v>
                </c:pt>
                <c:pt idx="33">
                  <c:v>-419.97758584665075</c:v>
                </c:pt>
                <c:pt idx="34">
                  <c:v>-394.33594433044004</c:v>
                </c:pt>
                <c:pt idx="35">
                  <c:v>-368.69430281422927</c:v>
                </c:pt>
                <c:pt idx="36">
                  <c:v>-343.05266129801862</c:v>
                </c:pt>
                <c:pt idx="37">
                  <c:v>-317.41101978180791</c:v>
                </c:pt>
                <c:pt idx="38">
                  <c:v>-291.76937826559714</c:v>
                </c:pt>
                <c:pt idx="39">
                  <c:v>-266.12773674938643</c:v>
                </c:pt>
                <c:pt idx="40">
                  <c:v>-240.48609523317566</c:v>
                </c:pt>
                <c:pt idx="41">
                  <c:v>-214.84445371696492</c:v>
                </c:pt>
                <c:pt idx="42">
                  <c:v>-189.20281220075418</c:v>
                </c:pt>
                <c:pt idx="43">
                  <c:v>-163.56117068454344</c:v>
                </c:pt>
                <c:pt idx="44">
                  <c:v>-137.9195291683327</c:v>
                </c:pt>
                <c:pt idx="45">
                  <c:v>-112.27788765212219</c:v>
                </c:pt>
                <c:pt idx="46">
                  <c:v>-86.636246135911435</c:v>
                </c:pt>
                <c:pt idx="47">
                  <c:v>-60.994604619700695</c:v>
                </c:pt>
                <c:pt idx="48">
                  <c:v>-35.352963103489948</c:v>
                </c:pt>
                <c:pt idx="49">
                  <c:v>-9.7113215872792065</c:v>
                </c:pt>
                <c:pt idx="50">
                  <c:v>15.930319928931539</c:v>
                </c:pt>
                <c:pt idx="51">
                  <c:v>41.571961445142286</c:v>
                </c:pt>
                <c:pt idx="52">
                  <c:v>67.213602961353033</c:v>
                </c:pt>
                <c:pt idx="53">
                  <c:v>92.855244477563772</c:v>
                </c:pt>
                <c:pt idx="54">
                  <c:v>118.49688599377451</c:v>
                </c:pt>
                <c:pt idx="55">
                  <c:v>144.13852750998527</c:v>
                </c:pt>
                <c:pt idx="56">
                  <c:v>169.78016902619601</c:v>
                </c:pt>
                <c:pt idx="57">
                  <c:v>195.42181054240675</c:v>
                </c:pt>
                <c:pt idx="58">
                  <c:v>221.06345205861726</c:v>
                </c:pt>
                <c:pt idx="59">
                  <c:v>246.705093574828</c:v>
                </c:pt>
                <c:pt idx="60">
                  <c:v>272.34673509103874</c:v>
                </c:pt>
                <c:pt idx="61">
                  <c:v>297.98837660724951</c:v>
                </c:pt>
                <c:pt idx="62">
                  <c:v>323.63001812346022</c:v>
                </c:pt>
                <c:pt idx="63">
                  <c:v>349.27165963967099</c:v>
                </c:pt>
                <c:pt idx="64">
                  <c:v>374.9133011558817</c:v>
                </c:pt>
                <c:pt idx="65">
                  <c:v>400.55494267209247</c:v>
                </c:pt>
                <c:pt idx="66">
                  <c:v>426.19658418830323</c:v>
                </c:pt>
                <c:pt idx="67">
                  <c:v>451.83822570451395</c:v>
                </c:pt>
                <c:pt idx="68">
                  <c:v>477.47986722072471</c:v>
                </c:pt>
                <c:pt idx="69">
                  <c:v>503.12150873693543</c:v>
                </c:pt>
                <c:pt idx="70">
                  <c:v>528.76315025314614</c:v>
                </c:pt>
                <c:pt idx="71">
                  <c:v>554.40479176935673</c:v>
                </c:pt>
                <c:pt idx="72">
                  <c:v>580.04643328556745</c:v>
                </c:pt>
                <c:pt idx="73">
                  <c:v>605.68807480177816</c:v>
                </c:pt>
                <c:pt idx="74">
                  <c:v>631.32971631798898</c:v>
                </c:pt>
                <c:pt idx="75">
                  <c:v>656.97135783419969</c:v>
                </c:pt>
                <c:pt idx="76">
                  <c:v>682.6129993504104</c:v>
                </c:pt>
                <c:pt idx="77">
                  <c:v>708.25464086662112</c:v>
                </c:pt>
                <c:pt idx="78">
                  <c:v>733.89628238283194</c:v>
                </c:pt>
                <c:pt idx="79">
                  <c:v>759.53792389904265</c:v>
                </c:pt>
                <c:pt idx="80">
                  <c:v>785.17956541525336</c:v>
                </c:pt>
                <c:pt idx="81">
                  <c:v>810.82120693146419</c:v>
                </c:pt>
                <c:pt idx="82">
                  <c:v>836.4628484476749</c:v>
                </c:pt>
                <c:pt idx="83">
                  <c:v>862.10448996388538</c:v>
                </c:pt>
                <c:pt idx="84">
                  <c:v>887.74613148009632</c:v>
                </c:pt>
                <c:pt idx="85">
                  <c:v>913.38777299630692</c:v>
                </c:pt>
                <c:pt idx="86">
                  <c:v>939.02941451251786</c:v>
                </c:pt>
                <c:pt idx="87">
                  <c:v>964.67105602872834</c:v>
                </c:pt>
                <c:pt idx="88">
                  <c:v>990.3126975449394</c:v>
                </c:pt>
                <c:pt idx="89">
                  <c:v>1015.9543390611499</c:v>
                </c:pt>
                <c:pt idx="90">
                  <c:v>1041.5959805773605</c:v>
                </c:pt>
                <c:pt idx="91">
                  <c:v>1067.2376220935714</c:v>
                </c:pt>
                <c:pt idx="92">
                  <c:v>1092.8792636097819</c:v>
                </c:pt>
                <c:pt idx="93">
                  <c:v>1118.5209051259928</c:v>
                </c:pt>
                <c:pt idx="94">
                  <c:v>1144.1625466422033</c:v>
                </c:pt>
                <c:pt idx="95">
                  <c:v>1169.8041881584143</c:v>
                </c:pt>
                <c:pt idx="96">
                  <c:v>1195.4458296746247</c:v>
                </c:pt>
                <c:pt idx="97">
                  <c:v>1221.0874711908359</c:v>
                </c:pt>
                <c:pt idx="98">
                  <c:v>1246.7291127070464</c:v>
                </c:pt>
                <c:pt idx="99">
                  <c:v>1272.3707542232571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899.69083461761431</c:v>
                </c:pt>
                <c:pt idx="1">
                  <c:v>899.69083461761431</c:v>
                </c:pt>
                <c:pt idx="2">
                  <c:v>899.69083461761431</c:v>
                </c:pt>
                <c:pt idx="3">
                  <c:v>899.69702800242908</c:v>
                </c:pt>
                <c:pt idx="4">
                  <c:v>899.73084557526226</c:v>
                </c:pt>
                <c:pt idx="5">
                  <c:v>899.79410476130556</c:v>
                </c:pt>
                <c:pt idx="6">
                  <c:v>899.88680556055942</c:v>
                </c:pt>
                <c:pt idx="7">
                  <c:v>900.00894797302351</c:v>
                </c:pt>
                <c:pt idx="8">
                  <c:v>900.16053199869793</c:v>
                </c:pt>
                <c:pt idx="9">
                  <c:v>900.3415576375827</c:v>
                </c:pt>
                <c:pt idx="10">
                  <c:v>900.5520248896778</c:v>
                </c:pt>
                <c:pt idx="11">
                  <c:v>900.79193375498312</c:v>
                </c:pt>
                <c:pt idx="12">
                  <c:v>901.0612842334989</c:v>
                </c:pt>
                <c:pt idx="13">
                  <c:v>901.3600763252249</c:v>
                </c:pt>
                <c:pt idx="14">
                  <c:v>901.68831003016135</c:v>
                </c:pt>
                <c:pt idx="15">
                  <c:v>902.04598534830814</c:v>
                </c:pt>
                <c:pt idx="16">
                  <c:v>902.43310227966515</c:v>
                </c:pt>
                <c:pt idx="17">
                  <c:v>902.84966082423261</c:v>
                </c:pt>
                <c:pt idx="18">
                  <c:v>903.29566098201042</c:v>
                </c:pt>
                <c:pt idx="19">
                  <c:v>903.77110275299844</c:v>
                </c:pt>
                <c:pt idx="20">
                  <c:v>904.27598613719692</c:v>
                </c:pt>
                <c:pt idx="21">
                  <c:v>904.81031113460563</c:v>
                </c:pt>
                <c:pt idx="22">
                  <c:v>905.37407774522467</c:v>
                </c:pt>
                <c:pt idx="23">
                  <c:v>905.96728596905405</c:v>
                </c:pt>
                <c:pt idx="24">
                  <c:v>906.58993580609388</c:v>
                </c:pt>
                <c:pt idx="25">
                  <c:v>907.24202725634382</c:v>
                </c:pt>
                <c:pt idx="26">
                  <c:v>907.92356031980432</c:v>
                </c:pt>
                <c:pt idx="27">
                  <c:v>908.63453499647505</c:v>
                </c:pt>
                <c:pt idx="28">
                  <c:v>909.37495128635612</c:v>
                </c:pt>
                <c:pt idx="29">
                  <c:v>910.14480918944753</c:v>
                </c:pt>
                <c:pt idx="30">
                  <c:v>910.94410870574927</c:v>
                </c:pt>
                <c:pt idx="31">
                  <c:v>911.77284983526135</c:v>
                </c:pt>
                <c:pt idx="32">
                  <c:v>912.63103257798366</c:v>
                </c:pt>
                <c:pt idx="33">
                  <c:v>913.51865693391653</c:v>
                </c:pt>
                <c:pt idx="34">
                  <c:v>914.43572290305951</c:v>
                </c:pt>
                <c:pt idx="35">
                  <c:v>915.38223048541283</c:v>
                </c:pt>
                <c:pt idx="36">
                  <c:v>916.35817968097672</c:v>
                </c:pt>
                <c:pt idx="37">
                  <c:v>917.36357048975071</c:v>
                </c:pt>
                <c:pt idx="38">
                  <c:v>918.39840291173516</c:v>
                </c:pt>
                <c:pt idx="39">
                  <c:v>919.46267694692972</c:v>
                </c:pt>
                <c:pt idx="40">
                  <c:v>920.55639259533496</c:v>
                </c:pt>
                <c:pt idx="41">
                  <c:v>921.6795498569503</c:v>
                </c:pt>
                <c:pt idx="42">
                  <c:v>922.8321487317761</c:v>
                </c:pt>
                <c:pt idx="43">
                  <c:v>924.01418921981201</c:v>
                </c:pt>
                <c:pt idx="44">
                  <c:v>925.22567132105837</c:v>
                </c:pt>
                <c:pt idx="45">
                  <c:v>926.46659503551518</c:v>
                </c:pt>
                <c:pt idx="46">
                  <c:v>927.73696036318222</c:v>
                </c:pt>
                <c:pt idx="47">
                  <c:v>929.06899680196227</c:v>
                </c:pt>
                <c:pt idx="48">
                  <c:v>930.53013789152487</c:v>
                </c:pt>
                <c:pt idx="49">
                  <c:v>932.12250591644272</c:v>
                </c:pt>
                <c:pt idx="50">
                  <c:v>933.84610087671592</c:v>
                </c:pt>
                <c:pt idx="51">
                  <c:v>935.70092277234471</c:v>
                </c:pt>
                <c:pt idx="52">
                  <c:v>937.68697160332886</c:v>
                </c:pt>
                <c:pt idx="53">
                  <c:v>939.80424736966825</c:v>
                </c:pt>
                <c:pt idx="54">
                  <c:v>942.05275007136311</c:v>
                </c:pt>
                <c:pt idx="55">
                  <c:v>944.43247970841333</c:v>
                </c:pt>
                <c:pt idx="56">
                  <c:v>946.94343628081901</c:v>
                </c:pt>
                <c:pt idx="57">
                  <c:v>949.58561978857995</c:v>
                </c:pt>
                <c:pt idx="58">
                  <c:v>952.35903023169647</c:v>
                </c:pt>
                <c:pt idx="59">
                  <c:v>955.26366761016823</c:v>
                </c:pt>
                <c:pt idx="60">
                  <c:v>958.29953192399546</c:v>
                </c:pt>
                <c:pt idx="61">
                  <c:v>961.46662317317805</c:v>
                </c:pt>
                <c:pt idx="62">
                  <c:v>964.76494135771611</c:v>
                </c:pt>
                <c:pt idx="63">
                  <c:v>968.19448647760953</c:v>
                </c:pt>
                <c:pt idx="64">
                  <c:v>971.75525853285819</c:v>
                </c:pt>
                <c:pt idx="65">
                  <c:v>975.44725752346244</c:v>
                </c:pt>
                <c:pt idx="66">
                  <c:v>979.27048344942193</c:v>
                </c:pt>
                <c:pt idx="67">
                  <c:v>983.22493631073689</c:v>
                </c:pt>
                <c:pt idx="68">
                  <c:v>987.31061610740721</c:v>
                </c:pt>
                <c:pt idx="69">
                  <c:v>991.52752283943289</c:v>
                </c:pt>
                <c:pt idx="70">
                  <c:v>995.87565650681404</c:v>
                </c:pt>
                <c:pt idx="71">
                  <c:v>1000.3550171095505</c:v>
                </c:pt>
                <c:pt idx="72">
                  <c:v>1004.9656046476425</c:v>
                </c:pt>
                <c:pt idx="73">
                  <c:v>1009.7074191210897</c:v>
                </c:pt>
                <c:pt idx="74">
                  <c:v>1014.5804605298923</c:v>
                </c:pt>
                <c:pt idx="75">
                  <c:v>1019.5847288740505</c:v>
                </c:pt>
                <c:pt idx="76">
                  <c:v>1024.720224153564</c:v>
                </c:pt>
                <c:pt idx="77">
                  <c:v>1029.9869463684329</c:v>
                </c:pt>
                <c:pt idx="78">
                  <c:v>1035.384895518657</c:v>
                </c:pt>
                <c:pt idx="79">
                  <c:v>1040.9140716042368</c:v>
                </c:pt>
                <c:pt idx="80">
                  <c:v>1046.5744746251717</c:v>
                </c:pt>
                <c:pt idx="81">
                  <c:v>1052.3661045814622</c:v>
                </c:pt>
                <c:pt idx="82">
                  <c:v>1058.2889614731077</c:v>
                </c:pt>
                <c:pt idx="83">
                  <c:v>1064.343045300109</c:v>
                </c:pt>
                <c:pt idx="84">
                  <c:v>1070.5283560624657</c:v>
                </c:pt>
                <c:pt idx="85">
                  <c:v>1076.8448937601775</c:v>
                </c:pt>
                <c:pt idx="86">
                  <c:v>1083.2926583932451</c:v>
                </c:pt>
                <c:pt idx="87">
                  <c:v>1089.8716499616678</c:v>
                </c:pt>
                <c:pt idx="88">
                  <c:v>1096.581868465446</c:v>
                </c:pt>
                <c:pt idx="89">
                  <c:v>1103.4233139045796</c:v>
                </c:pt>
                <c:pt idx="90">
                  <c:v>1110.3959862790682</c:v>
                </c:pt>
                <c:pt idx="91">
                  <c:v>1117.4998855889128</c:v>
                </c:pt>
                <c:pt idx="92">
                  <c:v>1124.7350118341124</c:v>
                </c:pt>
                <c:pt idx="93">
                  <c:v>1132.1013650146676</c:v>
                </c:pt>
                <c:pt idx="94">
                  <c:v>1139.5989451305779</c:v>
                </c:pt>
                <c:pt idx="95">
                  <c:v>1147.2277521818439</c:v>
                </c:pt>
                <c:pt idx="96">
                  <c:v>1154.9877861684652</c:v>
                </c:pt>
                <c:pt idx="97">
                  <c:v>1162.8790470904419</c:v>
                </c:pt>
                <c:pt idx="98">
                  <c:v>1170.9015349477738</c:v>
                </c:pt>
                <c:pt idx="99">
                  <c:v>1179.0552497404612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1</xdr:row>
      <xdr:rowOff>144780</xdr:rowOff>
    </xdr:from>
    <xdr:to>
      <xdr:col>5</xdr:col>
      <xdr:colOff>740453</xdr:colOff>
      <xdr:row>24</xdr:row>
      <xdr:rowOff>163337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447" y="315014"/>
          <a:ext cx="4736900" cy="3998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1"/>
  <sheetViews>
    <sheetView showGridLines="0" topLeftCell="E1" zoomScaleNormal="100" workbookViewId="0">
      <pane ySplit="1" topLeftCell="A162" activePane="bottomLeft" state="frozen"/>
      <selection pane="bottomLeft" activeCell="J170" sqref="J170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0" t="s">
        <v>17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</row>
    <row r="4" spans="1:15" s="46" customFormat="1" ht="20.100000000000001" hidden="1" customHeight="1" outlineLevel="1">
      <c r="A4" s="47" t="s">
        <v>16</v>
      </c>
      <c r="B4" s="162" t="s">
        <v>15</v>
      </c>
      <c r="C4" s="162"/>
      <c r="D4" s="162"/>
      <c r="E4" s="162"/>
      <c r="F4" s="162"/>
      <c r="G4" s="162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3"/>
      <c r="C5" s="164"/>
      <c r="D5" s="164"/>
      <c r="E5" s="164"/>
      <c r="F5" s="164"/>
      <c r="G5" s="16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3"/>
      <c r="C6" s="164"/>
      <c r="D6" s="164"/>
      <c r="E6" s="164"/>
      <c r="F6" s="164"/>
      <c r="G6" s="16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3"/>
      <c r="C7" s="164"/>
      <c r="D7" s="164"/>
      <c r="E7" s="164"/>
      <c r="F7" s="164"/>
      <c r="G7" s="16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3"/>
      <c r="C8" s="164"/>
      <c r="D8" s="164"/>
      <c r="E8" s="164"/>
      <c r="F8" s="164"/>
      <c r="G8" s="16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3"/>
      <c r="C9" s="164"/>
      <c r="D9" s="164"/>
      <c r="E9" s="164"/>
      <c r="F9" s="164"/>
      <c r="G9" s="16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6" t="s">
        <v>101</v>
      </c>
      <c r="C13" s="166"/>
      <c r="D13" s="168" t="s">
        <v>102</v>
      </c>
      <c r="E13" s="168"/>
      <c r="F13" s="168"/>
      <c r="G13" s="168"/>
      <c r="H13" s="168"/>
      <c r="I13" s="168"/>
      <c r="J13" s="168"/>
      <c r="K13" s="168"/>
      <c r="L13" s="86"/>
    </row>
    <row r="14" spans="1:15" s="85" customFormat="1" ht="20.100000000000001" customHeight="1" outlineLevel="1">
      <c r="A14" s="87"/>
      <c r="B14" s="166" t="s">
        <v>100</v>
      </c>
      <c r="C14" s="166"/>
      <c r="D14" s="168" t="s">
        <v>104</v>
      </c>
      <c r="E14" s="168"/>
      <c r="F14" s="168"/>
      <c r="G14" s="168"/>
      <c r="H14" s="168"/>
      <c r="I14" s="168"/>
      <c r="J14" s="168"/>
      <c r="K14" s="168"/>
      <c r="L14" s="86"/>
    </row>
    <row r="15" spans="1:15" s="85" customFormat="1" ht="20.100000000000001" customHeight="1" outlineLevel="1">
      <c r="A15" s="87"/>
      <c r="B15" s="166" t="s">
        <v>99</v>
      </c>
      <c r="C15" s="166"/>
      <c r="D15" s="168" t="s">
        <v>103</v>
      </c>
      <c r="E15" s="168"/>
      <c r="F15" s="168"/>
      <c r="G15" s="168"/>
      <c r="H15" s="168"/>
      <c r="I15" s="168"/>
      <c r="J15" s="168"/>
      <c r="K15" s="168"/>
      <c r="L15" s="86"/>
    </row>
    <row r="16" spans="1:15" s="85" customFormat="1" ht="20.100000000000001" customHeight="1" outlineLevel="1">
      <c r="A16" s="87"/>
      <c r="B16" s="166" t="s">
        <v>98</v>
      </c>
      <c r="C16" s="166"/>
      <c r="D16" s="168" t="str">
        <f>Title</f>
        <v>Flange Segment Analytical Model for 30° gap size</v>
      </c>
      <c r="E16" s="168"/>
      <c r="F16" s="168"/>
      <c r="G16" s="168"/>
      <c r="H16" s="168"/>
      <c r="I16" s="168"/>
      <c r="J16" s="168"/>
      <c r="K16" s="168"/>
      <c r="L16" s="86"/>
      <c r="M16" s="88"/>
    </row>
    <row r="17" spans="1:22" s="85" customFormat="1" ht="20.100000000000001" customHeight="1" outlineLevel="1">
      <c r="A17" s="87"/>
      <c r="B17" s="166" t="s">
        <v>97</v>
      </c>
      <c r="C17" s="166"/>
      <c r="D17" s="169" t="s">
        <v>326</v>
      </c>
      <c r="E17" s="168"/>
      <c r="F17" s="168"/>
      <c r="G17" s="168"/>
      <c r="H17" s="168"/>
      <c r="I17" s="168"/>
      <c r="J17" s="168"/>
      <c r="K17" s="168"/>
      <c r="L17" s="86"/>
    </row>
    <row r="18" spans="1:22" s="85" customFormat="1" ht="20.100000000000001" customHeight="1" outlineLevel="1">
      <c r="A18" s="87"/>
      <c r="B18" s="166" t="s">
        <v>96</v>
      </c>
      <c r="C18" s="166"/>
      <c r="D18" s="167">
        <v>45432</v>
      </c>
      <c r="E18" s="167"/>
      <c r="F18" s="167"/>
      <c r="G18" s="167"/>
      <c r="H18" s="167"/>
      <c r="I18" s="167"/>
      <c r="J18" s="167"/>
      <c r="K18" s="16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7"/>
      <c r="C28" s="158"/>
      <c r="D28" s="158"/>
      <c r="E28" s="158"/>
      <c r="F28" s="158"/>
      <c r="G28" s="158"/>
      <c r="H28" s="158"/>
      <c r="I28" s="158"/>
      <c r="J28" s="158"/>
      <c r="K28" s="159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-1457.4556089451889</v>
      </c>
      <c r="P66" s="71">
        <v>-1430.8928709188615</v>
      </c>
      <c r="Q66" s="71">
        <v>-1404.3301328925338</v>
      </c>
      <c r="R66" s="71">
        <v>-1377.7673948662064</v>
      </c>
      <c r="S66" s="71">
        <v>-1351.2046568398789</v>
      </c>
      <c r="T66" s="71">
        <v>-1324.6419188135512</v>
      </c>
      <c r="U66" s="71">
        <v>-1298.0791807872238</v>
      </c>
      <c r="V66" s="71">
        <v>-1271.5164427608963</v>
      </c>
      <c r="W66" s="71">
        <v>-1244.9537047345686</v>
      </c>
      <c r="X66" s="71">
        <v>-1218.3909667082412</v>
      </c>
      <c r="Y66" s="71">
        <v>-1191.8282286819135</v>
      </c>
      <c r="Z66" s="71">
        <v>-1165.2654906555861</v>
      </c>
      <c r="AA66" s="71">
        <v>-1138.7027526292586</v>
      </c>
      <c r="AB66" s="71">
        <v>-1112.1400146029309</v>
      </c>
      <c r="AC66" s="71">
        <v>-1085.5772765766035</v>
      </c>
      <c r="AD66" s="71">
        <v>-1059.0145385502758</v>
      </c>
      <c r="AE66" s="71">
        <v>-1032.4518005239484</v>
      </c>
      <c r="AF66" s="71">
        <v>-1005.8890624976209</v>
      </c>
      <c r="AG66" s="71">
        <v>-979.32632447129333</v>
      </c>
      <c r="AH66" s="71">
        <v>-952.76358644496577</v>
      </c>
      <c r="AI66" s="71">
        <v>-926.20084841863832</v>
      </c>
      <c r="AJ66" s="71">
        <v>-899.63811039231075</v>
      </c>
      <c r="AK66" s="71">
        <v>-873.07537236598318</v>
      </c>
      <c r="AL66" s="71">
        <v>-846.51263433965562</v>
      </c>
      <c r="AM66" s="71">
        <v>-819.94989631332817</v>
      </c>
      <c r="AN66" s="71">
        <v>-793.3871582870006</v>
      </c>
      <c r="AO66" s="71">
        <v>-766.82442026067304</v>
      </c>
      <c r="AP66" s="71">
        <v>-740.26168223434559</v>
      </c>
      <c r="AQ66" s="71">
        <v>-713.69894420801802</v>
      </c>
      <c r="AR66" s="71">
        <v>-687.13620618169045</v>
      </c>
      <c r="AS66" s="71">
        <v>-660.57346815536289</v>
      </c>
      <c r="AT66" s="71">
        <v>-634.01073012903544</v>
      </c>
      <c r="AU66" s="71">
        <v>-607.44799210270787</v>
      </c>
      <c r="AV66" s="71">
        <v>-580.88525407638031</v>
      </c>
      <c r="AW66" s="71">
        <v>-554.32251605005285</v>
      </c>
      <c r="AX66" s="71">
        <v>-527.75977802372529</v>
      </c>
      <c r="AY66" s="71">
        <v>-501.19703999739767</v>
      </c>
      <c r="AZ66" s="71">
        <v>-474.6343019710701</v>
      </c>
      <c r="BA66" s="71">
        <v>-448.07156394474265</v>
      </c>
      <c r="BB66" s="71">
        <v>-421.50882591841508</v>
      </c>
      <c r="BC66" s="71">
        <v>-394.94608789208763</v>
      </c>
      <c r="BD66" s="71">
        <v>-368.38334986575995</v>
      </c>
      <c r="BE66" s="71">
        <v>-341.8206118394325</v>
      </c>
      <c r="BF66" s="71">
        <v>-315.25787381310505</v>
      </c>
      <c r="BG66" s="71">
        <v>-288.69513578677737</v>
      </c>
      <c r="BH66" s="71">
        <v>-262.13239776044992</v>
      </c>
      <c r="BI66" s="71">
        <v>-235.56965973412221</v>
      </c>
      <c r="BJ66" s="71">
        <v>-209.00692170779476</v>
      </c>
      <c r="BK66" s="71">
        <v>-182.44418368146731</v>
      </c>
      <c r="BL66" s="71">
        <v>-155.88144565513963</v>
      </c>
      <c r="BM66" s="71">
        <v>-129.31870762881218</v>
      </c>
      <c r="BN66" s="71">
        <v>-102.75596960248473</v>
      </c>
      <c r="BO66" s="71">
        <v>-76.193231576157032</v>
      </c>
      <c r="BP66" s="71">
        <v>-49.630493549829581</v>
      </c>
      <c r="BQ66" s="71">
        <v>-23.067755523502129</v>
      </c>
      <c r="BR66" s="71">
        <v>3.4949825028255583</v>
      </c>
      <c r="BS66" s="71">
        <v>30.057720529153013</v>
      </c>
      <c r="BT66" s="71">
        <v>56.620458555480468</v>
      </c>
      <c r="BU66" s="71">
        <v>83.183196581808147</v>
      </c>
      <c r="BV66" s="71">
        <v>109.7459346081356</v>
      </c>
      <c r="BW66" s="71">
        <v>136.30867263446328</v>
      </c>
      <c r="BX66" s="71">
        <v>162.87141066079076</v>
      </c>
      <c r="BY66" s="71">
        <v>189.43414868711821</v>
      </c>
      <c r="BZ66" s="71">
        <v>215.99688671344589</v>
      </c>
      <c r="CA66" s="71">
        <v>242.55962473977334</v>
      </c>
      <c r="CB66" s="71">
        <v>269.12236276610076</v>
      </c>
      <c r="CC66" s="71">
        <v>295.6851007924285</v>
      </c>
      <c r="CD66" s="71">
        <v>322.24783881875595</v>
      </c>
      <c r="CE66" s="71">
        <v>348.8105768450834</v>
      </c>
      <c r="CF66" s="71">
        <v>375.37331487141108</v>
      </c>
      <c r="CG66" s="71">
        <v>401.93605289773853</v>
      </c>
      <c r="CH66" s="71">
        <v>428.49879092406621</v>
      </c>
      <c r="CI66" s="71">
        <v>455.06152895039367</v>
      </c>
      <c r="CJ66" s="71">
        <v>481.62426697672112</v>
      </c>
      <c r="CK66" s="71">
        <v>508.1870050030488</v>
      </c>
      <c r="CL66" s="71">
        <v>534.7497430293763</v>
      </c>
      <c r="CM66" s="71">
        <v>561.31248105570376</v>
      </c>
      <c r="CN66" s="71">
        <v>587.87521908203144</v>
      </c>
      <c r="CO66" s="71">
        <v>614.43795710835889</v>
      </c>
      <c r="CP66" s="71">
        <v>641.00069513468634</v>
      </c>
      <c r="CQ66" s="71">
        <v>667.56343316101379</v>
      </c>
      <c r="CR66" s="71">
        <v>694.1261711873417</v>
      </c>
      <c r="CS66" s="71">
        <v>720.68890921366915</v>
      </c>
      <c r="CT66" s="71">
        <v>747.2516472399966</v>
      </c>
      <c r="CU66" s="71">
        <v>773.81438526632405</v>
      </c>
      <c r="CV66" s="71">
        <v>800.3771232926515</v>
      </c>
      <c r="CW66" s="71">
        <v>826.93986131897896</v>
      </c>
      <c r="CX66" s="71">
        <v>853.50259934530686</v>
      </c>
      <c r="CY66" s="71">
        <v>880.06533737163431</v>
      </c>
      <c r="CZ66" s="71">
        <v>906.62807539796177</v>
      </c>
      <c r="DA66" s="71">
        <v>933.19081342428922</v>
      </c>
      <c r="DB66" s="71">
        <v>959.75355145061667</v>
      </c>
      <c r="DC66" s="71">
        <v>986.31628947694458</v>
      </c>
      <c r="DD66" s="71">
        <v>1012.879027503272</v>
      </c>
      <c r="DE66" s="71">
        <v>1039.4417655295995</v>
      </c>
      <c r="DF66" s="71">
        <v>1066.0045035559269</v>
      </c>
      <c r="DG66" s="71">
        <v>1092.5672415822544</v>
      </c>
      <c r="DH66" s="71">
        <v>1119.1299796085818</v>
      </c>
      <c r="DI66" s="71">
        <v>1145.6927176349097</v>
      </c>
      <c r="DJ66" s="71">
        <v>1172.2554556612374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890.196620196602</v>
      </c>
      <c r="P67" s="71">
        <v>890.196620196602</v>
      </c>
      <c r="Q67" s="71">
        <v>890.196620196602</v>
      </c>
      <c r="R67" s="71">
        <v>890.19896262599616</v>
      </c>
      <c r="S67" s="71">
        <v>890.2266840831827</v>
      </c>
      <c r="T67" s="71">
        <v>890.28565091884036</v>
      </c>
      <c r="U67" s="71">
        <v>890.37586313296902</v>
      </c>
      <c r="V67" s="71">
        <v>890.49732072556878</v>
      </c>
      <c r="W67" s="71">
        <v>890.65002369663966</v>
      </c>
      <c r="X67" s="71">
        <v>890.83397204618166</v>
      </c>
      <c r="Y67" s="71">
        <v>891.04916577419488</v>
      </c>
      <c r="Z67" s="71">
        <v>891.29560488067909</v>
      </c>
      <c r="AA67" s="71">
        <v>891.57328936563442</v>
      </c>
      <c r="AB67" s="71">
        <v>891.88221922906098</v>
      </c>
      <c r="AC67" s="71">
        <v>892.22239447095853</v>
      </c>
      <c r="AD67" s="71">
        <v>892.5938150913272</v>
      </c>
      <c r="AE67" s="71">
        <v>892.99648109016698</v>
      </c>
      <c r="AF67" s="71">
        <v>893.43039246747799</v>
      </c>
      <c r="AG67" s="71">
        <v>893.89554922325988</v>
      </c>
      <c r="AH67" s="71">
        <v>894.39195135751311</v>
      </c>
      <c r="AI67" s="71">
        <v>894.91959887023734</v>
      </c>
      <c r="AJ67" s="71">
        <v>895.47849176143268</v>
      </c>
      <c r="AK67" s="71">
        <v>896.06863003109925</v>
      </c>
      <c r="AL67" s="71">
        <v>896.6900136792367</v>
      </c>
      <c r="AM67" s="71">
        <v>897.34264270584538</v>
      </c>
      <c r="AN67" s="71">
        <v>898.02651711092528</v>
      </c>
      <c r="AO67" s="71">
        <v>898.7416368944763</v>
      </c>
      <c r="AP67" s="71">
        <v>899.48800205649832</v>
      </c>
      <c r="AQ67" s="71">
        <v>900.26561259699145</v>
      </c>
      <c r="AR67" s="71">
        <v>901.07446851595569</v>
      </c>
      <c r="AS67" s="71">
        <v>901.91456981339104</v>
      </c>
      <c r="AT67" s="71">
        <v>902.78591648929751</v>
      </c>
      <c r="AU67" s="71">
        <v>903.6885085436752</v>
      </c>
      <c r="AV67" s="71">
        <v>904.62234597652389</v>
      </c>
      <c r="AW67" s="71">
        <v>905.58742878784369</v>
      </c>
      <c r="AX67" s="71">
        <v>906.58375697763461</v>
      </c>
      <c r="AY67" s="71">
        <v>907.61133054589664</v>
      </c>
      <c r="AZ67" s="71">
        <v>908.67014949262989</v>
      </c>
      <c r="BA67" s="71">
        <v>909.76021381783414</v>
      </c>
      <c r="BB67" s="71">
        <v>910.88152352150962</v>
      </c>
      <c r="BC67" s="71">
        <v>912.03407860365598</v>
      </c>
      <c r="BD67" s="71">
        <v>913.21787906427369</v>
      </c>
      <c r="BE67" s="71">
        <v>914.43292490336239</v>
      </c>
      <c r="BF67" s="71">
        <v>915.67921612092221</v>
      </c>
      <c r="BG67" s="71">
        <v>916.95675271695313</v>
      </c>
      <c r="BH67" s="71">
        <v>918.26553469145529</v>
      </c>
      <c r="BI67" s="71">
        <v>919.60556204442844</v>
      </c>
      <c r="BJ67" s="71">
        <v>920.97683477587282</v>
      </c>
      <c r="BK67" s="71">
        <v>922.37935288578819</v>
      </c>
      <c r="BL67" s="71">
        <v>923.81311637417468</v>
      </c>
      <c r="BM67" s="71">
        <v>925.27812524103228</v>
      </c>
      <c r="BN67" s="71">
        <v>926.774379486361</v>
      </c>
      <c r="BO67" s="71">
        <v>928.30435284003192</v>
      </c>
      <c r="BP67" s="71">
        <v>929.95271924649774</v>
      </c>
      <c r="BQ67" s="71">
        <v>931.76109413097822</v>
      </c>
      <c r="BR67" s="71">
        <v>933.72947749347338</v>
      </c>
      <c r="BS67" s="71">
        <v>935.85786933398333</v>
      </c>
      <c r="BT67" s="71">
        <v>938.14626965250784</v>
      </c>
      <c r="BU67" s="71">
        <v>940.59467844904725</v>
      </c>
      <c r="BV67" s="71">
        <v>943.20309572360134</v>
      </c>
      <c r="BW67" s="71">
        <v>945.97152147617021</v>
      </c>
      <c r="BX67" s="71">
        <v>948.89995570675364</v>
      </c>
      <c r="BY67" s="71">
        <v>951.98839841535187</v>
      </c>
      <c r="BZ67" s="71">
        <v>955.23684960196476</v>
      </c>
      <c r="CA67" s="71">
        <v>958.64530926659245</v>
      </c>
      <c r="CB67" s="71">
        <v>962.21377740923492</v>
      </c>
      <c r="CC67" s="71">
        <v>965.94225402989207</v>
      </c>
      <c r="CD67" s="71">
        <v>969.83073912856389</v>
      </c>
      <c r="CE67" s="71">
        <v>973.8792327052505</v>
      </c>
      <c r="CF67" s="71">
        <v>978.08773475995179</v>
      </c>
      <c r="CG67" s="71">
        <v>982.45624529266775</v>
      </c>
      <c r="CH67" s="71">
        <v>986.98476430339861</v>
      </c>
      <c r="CI67" s="71">
        <v>991.67329179214403</v>
      </c>
      <c r="CJ67" s="71">
        <v>996.52182775890424</v>
      </c>
      <c r="CK67" s="71">
        <v>1001.5303722036791</v>
      </c>
      <c r="CL67" s="71">
        <v>1006.6989251264688</v>
      </c>
      <c r="CM67" s="71">
        <v>1012.027486527273</v>
      </c>
      <c r="CN67" s="71">
        <v>1017.5160564060922</v>
      </c>
      <c r="CO67" s="71">
        <v>1023.164634762926</v>
      </c>
      <c r="CP67" s="71">
        <v>1028.9732215977745</v>
      </c>
      <c r="CQ67" s="71">
        <v>1034.9418169106377</v>
      </c>
      <c r="CR67" s="71">
        <v>1041.0704207015158</v>
      </c>
      <c r="CS67" s="71">
        <v>1047.3590329704084</v>
      </c>
      <c r="CT67" s="71">
        <v>1053.8076537173158</v>
      </c>
      <c r="CU67" s="71">
        <v>1060.416282942238</v>
      </c>
      <c r="CV67" s="71">
        <v>1067.1849206451748</v>
      </c>
      <c r="CW67" s="71">
        <v>1074.1135668261263</v>
      </c>
      <c r="CX67" s="71">
        <v>1081.2022214850929</v>
      </c>
      <c r="CY67" s="71">
        <v>1088.4508846220738</v>
      </c>
      <c r="CZ67" s="71">
        <v>1095.8595562370695</v>
      </c>
      <c r="DA67" s="71">
        <v>1103.4282363300799</v>
      </c>
      <c r="DB67" s="71">
        <v>1111.1569249011052</v>
      </c>
      <c r="DC67" s="71">
        <v>1119.045621950145</v>
      </c>
      <c r="DD67" s="71">
        <v>1127.0943274771996</v>
      </c>
      <c r="DE67" s="71">
        <v>1135.303041482269</v>
      </c>
      <c r="DF67" s="71">
        <v>1143.6717639653532</v>
      </c>
      <c r="DG67" s="71">
        <v>1152.2004949264519</v>
      </c>
      <c r="DH67" s="71">
        <v>1160.8892343655655</v>
      </c>
      <c r="DI67" s="71">
        <v>1169.737982282694</v>
      </c>
      <c r="DJ67" s="71">
        <v>1178.7467386778369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-122.39860063465406</v>
      </c>
      <c r="P68" s="71">
        <v>-122.39860063465406</v>
      </c>
      <c r="Q68" s="71">
        <v>-122.39860063465406</v>
      </c>
      <c r="R68" s="71">
        <v>-122.39176811714873</v>
      </c>
      <c r="S68" s="71">
        <v>-122.31090875721868</v>
      </c>
      <c r="T68" s="71">
        <v>-122.13891128405915</v>
      </c>
      <c r="U68" s="71">
        <v>-121.87577569767011</v>
      </c>
      <c r="V68" s="71">
        <v>-121.52150199805158</v>
      </c>
      <c r="W68" s="71">
        <v>-121.07609018520354</v>
      </c>
      <c r="X68" s="71">
        <v>-120.53954025912601</v>
      </c>
      <c r="Y68" s="71">
        <v>-119.91185221981898</v>
      </c>
      <c r="Z68" s="71">
        <v>-119.19302606728247</v>
      </c>
      <c r="AA68" s="71">
        <v>-118.38306180151645</v>
      </c>
      <c r="AB68" s="71">
        <v>-117.48195942252093</v>
      </c>
      <c r="AC68" s="71">
        <v>-116.48971893029592</v>
      </c>
      <c r="AD68" s="71">
        <v>-115.40634032484139</v>
      </c>
      <c r="AE68" s="71">
        <v>-114.23182360615739</v>
      </c>
      <c r="AF68" s="71">
        <v>-112.9661687742439</v>
      </c>
      <c r="AG68" s="71">
        <v>-111.60937582910088</v>
      </c>
      <c r="AH68" s="71">
        <v>-110.16144477072838</v>
      </c>
      <c r="AI68" s="71">
        <v>-108.62237559912639</v>
      </c>
      <c r="AJ68" s="71">
        <v>-106.9921683142949</v>
      </c>
      <c r="AK68" s="71">
        <v>-105.27082291623391</v>
      </c>
      <c r="AL68" s="71">
        <v>-103.45833940494339</v>
      </c>
      <c r="AM68" s="71">
        <v>-101.55471778042342</v>
      </c>
      <c r="AN68" s="71">
        <v>-99.559958042673912</v>
      </c>
      <c r="AO68" s="71">
        <v>-97.474060191694932</v>
      </c>
      <c r="AP68" s="71">
        <v>-95.297024227486475</v>
      </c>
      <c r="AQ68" s="71">
        <v>-93.028850150048498</v>
      </c>
      <c r="AR68" s="71">
        <v>-90.669537959381003</v>
      </c>
      <c r="AS68" s="71">
        <v>-88.219087655484032</v>
      </c>
      <c r="AT68" s="71">
        <v>-85.677499238357569</v>
      </c>
      <c r="AU68" s="71">
        <v>-83.044772708001602</v>
      </c>
      <c r="AV68" s="71">
        <v>-80.32090806441613</v>
      </c>
      <c r="AW68" s="71">
        <v>-77.505905307601196</v>
      </c>
      <c r="AX68" s="71">
        <v>-74.599764437556715</v>
      </c>
      <c r="AY68" s="71">
        <v>-71.602485454282757</v>
      </c>
      <c r="AZ68" s="71">
        <v>-68.514068357779308</v>
      </c>
      <c r="BA68" s="71">
        <v>-65.334513148046355</v>
      </c>
      <c r="BB68" s="71">
        <v>-62.063819825083911</v>
      </c>
      <c r="BC68" s="71">
        <v>-58.701988388891976</v>
      </c>
      <c r="BD68" s="71">
        <v>-55.249018839470509</v>
      </c>
      <c r="BE68" s="71">
        <v>-51.704911176819579</v>
      </c>
      <c r="BF68" s="71">
        <v>-48.069665400939144</v>
      </c>
      <c r="BG68" s="71">
        <v>-44.34328151182919</v>
      </c>
      <c r="BH68" s="71">
        <v>-40.525759509489774</v>
      </c>
      <c r="BI68" s="71">
        <v>-36.617099393920817</v>
      </c>
      <c r="BJ68" s="71">
        <v>-32.617301165122406</v>
      </c>
      <c r="BK68" s="71">
        <v>-28.526364823094493</v>
      </c>
      <c r="BL68" s="71">
        <v>-24.344290367837047</v>
      </c>
      <c r="BM68" s="71">
        <v>-20.071077799350139</v>
      </c>
      <c r="BN68" s="71">
        <v>-15.706727117633736</v>
      </c>
      <c r="BO68" s="71">
        <v>-11.249638924604351</v>
      </c>
      <c r="BP68" s="71">
        <v>-6.6450670064361299</v>
      </c>
      <c r="BQ68" s="71">
        <v>-1.8661047747766748</v>
      </c>
      <c r="BR68" s="71">
        <v>3.0872477703740615</v>
      </c>
      <c r="BS68" s="71">
        <v>8.2149906290159898</v>
      </c>
      <c r="BT68" s="71">
        <v>13.517123801149154</v>
      </c>
      <c r="BU68" s="71">
        <v>18.993647286773609</v>
      </c>
      <c r="BV68" s="71">
        <v>24.644561085889244</v>
      </c>
      <c r="BW68" s="71">
        <v>30.469865198496173</v>
      </c>
      <c r="BX68" s="71">
        <v>36.469559624594282</v>
      </c>
      <c r="BY68" s="71">
        <v>42.643644364183629</v>
      </c>
      <c r="BZ68" s="71">
        <v>48.992119417264277</v>
      </c>
      <c r="CA68" s="71">
        <v>55.514984783836091</v>
      </c>
      <c r="CB68" s="71">
        <v>62.212240463899157</v>
      </c>
      <c r="CC68" s="71">
        <v>69.083886457453502</v>
      </c>
      <c r="CD68" s="71">
        <v>76.129922764499042</v>
      </c>
      <c r="CE68" s="71">
        <v>83.350349385035813</v>
      </c>
      <c r="CF68" s="71">
        <v>90.745166319063884</v>
      </c>
      <c r="CG68" s="71">
        <v>98.314373566583129</v>
      </c>
      <c r="CH68" s="71">
        <v>106.05797112759367</v>
      </c>
      <c r="CI68" s="71">
        <v>113.97595900209539</v>
      </c>
      <c r="CJ68" s="71">
        <v>122.06833719008834</v>
      </c>
      <c r="CK68" s="71">
        <v>130.33510569157261</v>
      </c>
      <c r="CL68" s="71">
        <v>138.77626450654802</v>
      </c>
      <c r="CM68" s="71">
        <v>147.3918136350147</v>
      </c>
      <c r="CN68" s="71">
        <v>156.18175307697265</v>
      </c>
      <c r="CO68" s="71">
        <v>165.1460828324218</v>
      </c>
      <c r="CP68" s="71">
        <v>174.28480290136218</v>
      </c>
      <c r="CQ68" s="71">
        <v>183.59791328379379</v>
      </c>
      <c r="CR68" s="71">
        <v>193.08541397971683</v>
      </c>
      <c r="CS68" s="71">
        <v>202.7473049891309</v>
      </c>
      <c r="CT68" s="71">
        <v>212.5835863120362</v>
      </c>
      <c r="CU68" s="71">
        <v>222.59425794843276</v>
      </c>
      <c r="CV68" s="71">
        <v>232.77931989832052</v>
      </c>
      <c r="CW68" s="71">
        <v>243.13877216169959</v>
      </c>
      <c r="CX68" s="71">
        <v>253.67261473857002</v>
      </c>
      <c r="CY68" s="71">
        <v>264.38084762893158</v>
      </c>
      <c r="CZ68" s="71">
        <v>275.26347083278432</v>
      </c>
      <c r="DA68" s="71">
        <v>286.32048435012825</v>
      </c>
      <c r="DB68" s="71">
        <v>297.55188818096343</v>
      </c>
      <c r="DC68" s="71">
        <v>308.95768232529014</v>
      </c>
      <c r="DD68" s="71">
        <v>320.5378667831078</v>
      </c>
      <c r="DE68" s="71">
        <v>332.29244155441671</v>
      </c>
      <c r="DF68" s="71">
        <v>344.22140663921692</v>
      </c>
      <c r="DG68" s="71">
        <v>356.32476203750826</v>
      </c>
      <c r="DH68" s="71">
        <v>368.60250774929091</v>
      </c>
      <c r="DI68" s="71">
        <v>381.05464377456502</v>
      </c>
      <c r="DJ68" s="71">
        <v>393.68117011333021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1116.4337672964166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127.80055796228295</v>
      </c>
      <c r="K85" s="79">
        <v>945.06736981408358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-1388.0529609001801</v>
      </c>
      <c r="K86" s="79">
        <v>890.196620196602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933461.34667101374</v>
      </c>
      <c r="J89" s="80">
        <v>7.6322498936230512E-2</v>
      </c>
      <c r="K89" s="80">
        <v>1.1338805884662667E-7</v>
      </c>
      <c r="L89" s="3"/>
      <c r="N89" s="1" t="s">
        <v>322</v>
      </c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932856.75166121847</v>
      </c>
      <c r="J90" s="80">
        <v>6.1467584690645387E-2</v>
      </c>
      <c r="K90" s="80">
        <v>2.214165684671802E-8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890196.62019660196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302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  <c r="Q112" s="70" t="s">
        <v>303</v>
      </c>
      <c r="R112" s="137">
        <f>R111/2/(J113-J116)</f>
        <v>1.7219568372997288E-4</v>
      </c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-12.131774705017023</v>
      </c>
      <c r="L113" s="3"/>
      <c r="Q113" s="70" t="s">
        <v>304</v>
      </c>
      <c r="R113" s="1">
        <f>R111-2*R112*J113</f>
        <v>0.47803345731123958</v>
      </c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1116.4337672964166</v>
      </c>
      <c r="K114" s="79">
        <v>367.34832067603514</v>
      </c>
      <c r="L114" s="3"/>
      <c r="Q114" s="70" t="s">
        <v>305</v>
      </c>
      <c r="R114" s="1">
        <f>point1.Ms-R113*J113-R112*J113^2</f>
        <v>25.639187007550433</v>
      </c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127.80055796228295</v>
      </c>
      <c r="K115" s="79">
        <v>28.585021852092598</v>
      </c>
      <c r="L115" s="3"/>
      <c r="Q115" s="1" t="s">
        <v>306</v>
      </c>
      <c r="R115" s="1">
        <f>R114+R113*J116+R112*J116^2</f>
        <v>-306.12869090755754</v>
      </c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-1388.0529609001801</v>
      </c>
      <c r="K116" s="79">
        <v>-122.39860063465406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2.4255490696644442</v>
      </c>
      <c r="J119" s="80">
        <v>1.8889627851827976E-4</v>
      </c>
      <c r="K119" s="80">
        <v>1.2357957136875367E-10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2.0346462022192502</v>
      </c>
      <c r="J120" s="80">
        <v>1.7929178546065831E-4</v>
      </c>
      <c r="K120" s="80">
        <v>6.4583913766656287E-11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-122.39860063465406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261</v>
      </c>
      <c r="C127" s="58"/>
      <c r="D127" s="58"/>
      <c r="E127" s="58"/>
      <c r="F127" s="58"/>
      <c r="G127" s="58"/>
      <c r="H127" s="58"/>
      <c r="I127" s="59" t="s">
        <v>262</v>
      </c>
      <c r="J127" s="127">
        <v>1.4</v>
      </c>
      <c r="K127" s="60" t="s">
        <v>263</v>
      </c>
      <c r="L127" s="3"/>
      <c r="U127" s="99"/>
    </row>
    <row r="128" spans="1:21" ht="20.100000000000001" customHeight="1">
      <c r="A128" s="9" t="s">
        <v>4</v>
      </c>
      <c r="B128" s="8" t="s">
        <v>257</v>
      </c>
      <c r="C128" s="8"/>
      <c r="D128" s="8"/>
      <c r="E128" s="8"/>
      <c r="F128" s="8"/>
      <c r="G128" s="8"/>
      <c r="H128" s="8"/>
      <c r="I128" s="7" t="s">
        <v>258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259</v>
      </c>
      <c r="C129" s="11"/>
      <c r="D129" s="11"/>
      <c r="E129" s="11"/>
      <c r="F129" s="11"/>
      <c r="G129" s="11"/>
      <c r="H129" s="11"/>
      <c r="I129" s="10" t="s">
        <v>260</v>
      </c>
      <c r="J129" s="67">
        <v>1.2162355202035973</v>
      </c>
      <c r="K129" s="93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241</v>
      </c>
      <c r="C132" s="11"/>
      <c r="D132" s="11"/>
      <c r="E132" s="11"/>
      <c r="F132" s="11"/>
      <c r="G132" s="11"/>
      <c r="H132" s="11"/>
      <c r="I132" s="10" t="s">
        <v>242</v>
      </c>
      <c r="J132" s="97">
        <v>1.8</v>
      </c>
      <c r="K132" s="93" t="s">
        <v>86</v>
      </c>
      <c r="L132" s="3"/>
      <c r="U132" s="99"/>
    </row>
    <row r="133" spans="1:21" ht="20.100000000000001" customHeight="1">
      <c r="A133" s="9" t="s">
        <v>4</v>
      </c>
      <c r="B133" s="17" t="s">
        <v>243</v>
      </c>
      <c r="C133" s="17"/>
      <c r="D133" s="17"/>
      <c r="E133" s="17"/>
      <c r="F133" s="17"/>
      <c r="G133" s="17"/>
      <c r="H133" s="17"/>
      <c r="I133" s="16" t="s">
        <v>244</v>
      </c>
      <c r="J133" s="149">
        <v>5347.6060878876842</v>
      </c>
      <c r="K133" s="1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11" t="s">
        <v>245</v>
      </c>
      <c r="C136" s="11"/>
      <c r="D136" s="11"/>
      <c r="E136" s="11"/>
      <c r="F136" s="11"/>
      <c r="G136" s="11"/>
      <c r="H136" s="11"/>
      <c r="I136" s="10" t="s">
        <v>246</v>
      </c>
      <c r="J136" s="149">
        <v>260.95900755068658</v>
      </c>
      <c r="K136" s="93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12338.843209964416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121291.36748708198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1.1017289479507151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1690.9346121377064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-341.35132096685641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329</v>
      </c>
      <c r="C148" s="8"/>
      <c r="D148" s="8"/>
      <c r="E148" s="8"/>
      <c r="F148" s="8"/>
      <c r="G148" s="8"/>
      <c r="H148" s="8"/>
      <c r="I148" s="81" t="s">
        <v>83</v>
      </c>
      <c r="J148" s="62">
        <v>-629.06538786229351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-336.23625207103021</v>
      </c>
      <c r="K149" s="5" t="s">
        <v>9</v>
      </c>
      <c r="L149" s="3"/>
    </row>
    <row r="150" spans="1:21" ht="20.100000000000001" customHeight="1">
      <c r="A150" s="9" t="s">
        <v>32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-1306.65296090018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A.4.4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8.1583768132973244E-2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A.4.5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/>
      <c r="O158" s="133"/>
      <c r="P158" s="133"/>
      <c r="Q158" s="133"/>
      <c r="R158" s="133"/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A.4.6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29.999999999999996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5.7862922955999693E-2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0.16877752429944665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231.89764113978492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354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355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356</v>
      </c>
      <c r="J171" s="125">
        <v>-34.427858400076637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357</v>
      </c>
      <c r="J172" s="125">
        <v>-12.131774705017023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358</v>
      </c>
      <c r="J173" s="125">
        <v>3.7214268100383492E-3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359</v>
      </c>
      <c r="J174" s="125">
        <v>-34.38556373373747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360</v>
      </c>
      <c r="J175" s="63">
        <v>-12.115388165377853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26" priority="5" stopIfTrue="1" operator="between">
      <formula>0</formula>
      <formula>1</formula>
    </cfRule>
  </conditionalFormatting>
  <conditionalFormatting sqref="K94">
    <cfRule type="cellIs" dxfId="25" priority="2" stopIfTrue="1" operator="between">
      <formula>0</formula>
      <formula>1</formula>
    </cfRule>
  </conditionalFormatting>
  <conditionalFormatting sqref="K124">
    <cfRule type="cellIs" dxfId="2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1"/>
  <sheetViews>
    <sheetView showGridLines="0" zoomScaleNormal="100" workbookViewId="0">
      <pane ySplit="1" topLeftCell="A164" activePane="bottomLeft" state="frozen"/>
      <selection pane="bottomLeft" activeCell="J171" sqref="J171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0" t="s">
        <v>17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</row>
    <row r="4" spans="1:15" s="46" customFormat="1" ht="20.100000000000001" hidden="1" customHeight="1" outlineLevel="1">
      <c r="A4" s="47" t="s">
        <v>16</v>
      </c>
      <c r="B4" s="162" t="s">
        <v>15</v>
      </c>
      <c r="C4" s="162"/>
      <c r="D4" s="162"/>
      <c r="E4" s="162"/>
      <c r="F4" s="162"/>
      <c r="G4" s="162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3"/>
      <c r="C5" s="164"/>
      <c r="D5" s="164"/>
      <c r="E5" s="164"/>
      <c r="F5" s="164"/>
      <c r="G5" s="16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3"/>
      <c r="C6" s="164"/>
      <c r="D6" s="164"/>
      <c r="E6" s="164"/>
      <c r="F6" s="164"/>
      <c r="G6" s="16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3"/>
      <c r="C7" s="164"/>
      <c r="D7" s="164"/>
      <c r="E7" s="164"/>
      <c r="F7" s="164"/>
      <c r="G7" s="16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3"/>
      <c r="C8" s="164"/>
      <c r="D8" s="164"/>
      <c r="E8" s="164"/>
      <c r="F8" s="164"/>
      <c r="G8" s="16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3"/>
      <c r="C9" s="164"/>
      <c r="D9" s="164"/>
      <c r="E9" s="164"/>
      <c r="F9" s="164"/>
      <c r="G9" s="16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294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6" t="s">
        <v>101</v>
      </c>
      <c r="C13" s="166"/>
      <c r="D13" s="168" t="str">
        <f>Gap30deg!D13</f>
        <v>SP2200052</v>
      </c>
      <c r="E13" s="168"/>
      <c r="F13" s="168"/>
      <c r="G13" s="168"/>
      <c r="H13" s="168"/>
      <c r="I13" s="168"/>
      <c r="J13" s="168"/>
      <c r="K13" s="168"/>
      <c r="L13" s="86"/>
    </row>
    <row r="14" spans="1:15" s="85" customFormat="1" ht="20.100000000000001" customHeight="1" outlineLevel="1">
      <c r="A14" s="87"/>
      <c r="B14" s="166" t="s">
        <v>100</v>
      </c>
      <c r="C14" s="166"/>
      <c r="D14" s="168" t="str">
        <f>Gap30deg!D14</f>
        <v>Stichting GROW</v>
      </c>
      <c r="E14" s="168"/>
      <c r="F14" s="168"/>
      <c r="G14" s="168"/>
      <c r="H14" s="168"/>
      <c r="I14" s="168"/>
      <c r="J14" s="168"/>
      <c r="K14" s="168"/>
      <c r="L14" s="86"/>
    </row>
    <row r="15" spans="1:15" s="85" customFormat="1" ht="20.100000000000001" customHeight="1" outlineLevel="1">
      <c r="A15" s="87"/>
      <c r="B15" s="166" t="s">
        <v>99</v>
      </c>
      <c r="C15" s="166"/>
      <c r="D15" s="168" t="str">
        <f>Gap30deg!D15</f>
        <v>Bolt and Beautiful</v>
      </c>
      <c r="E15" s="168"/>
      <c r="F15" s="168"/>
      <c r="G15" s="168"/>
      <c r="H15" s="168"/>
      <c r="I15" s="168"/>
      <c r="J15" s="168"/>
      <c r="K15" s="168"/>
      <c r="L15" s="86"/>
    </row>
    <row r="16" spans="1:15" s="85" customFormat="1" ht="20.100000000000001" customHeight="1" outlineLevel="1">
      <c r="A16" s="87"/>
      <c r="B16" s="166" t="s">
        <v>98</v>
      </c>
      <c r="C16" s="166"/>
      <c r="D16" s="168" t="str">
        <f>Title</f>
        <v>Flange Segment Analytical Model for 60° gap size</v>
      </c>
      <c r="E16" s="168"/>
      <c r="F16" s="168"/>
      <c r="G16" s="168"/>
      <c r="H16" s="168"/>
      <c r="I16" s="168"/>
      <c r="J16" s="168"/>
      <c r="K16" s="168"/>
      <c r="L16" s="86"/>
      <c r="M16" s="88"/>
    </row>
    <row r="17" spans="1:22" s="85" customFormat="1" ht="20.100000000000001" customHeight="1" outlineLevel="1">
      <c r="A17" s="87"/>
      <c r="B17" s="166" t="s">
        <v>97</v>
      </c>
      <c r="C17" s="166"/>
      <c r="D17" s="168" t="str">
        <f>Gap30deg!D17</f>
        <v>0.10</v>
      </c>
      <c r="E17" s="168"/>
      <c r="F17" s="168"/>
      <c r="G17" s="168"/>
      <c r="H17" s="168"/>
      <c r="I17" s="168"/>
      <c r="J17" s="168"/>
      <c r="K17" s="168"/>
      <c r="L17" s="86"/>
    </row>
    <row r="18" spans="1:22" s="85" customFormat="1" ht="20.100000000000001" customHeight="1" outlineLevel="1">
      <c r="A18" s="87"/>
      <c r="B18" s="166" t="s">
        <v>96</v>
      </c>
      <c r="C18" s="166"/>
      <c r="D18" s="167">
        <f>Gap30deg!D18</f>
        <v>45432</v>
      </c>
      <c r="E18" s="167"/>
      <c r="F18" s="167"/>
      <c r="G18" s="167"/>
      <c r="H18" s="167"/>
      <c r="I18" s="167"/>
      <c r="J18" s="167"/>
      <c r="K18" s="16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7"/>
      <c r="C28" s="158"/>
      <c r="D28" s="158"/>
      <c r="E28" s="158"/>
      <c r="F28" s="158"/>
      <c r="G28" s="158"/>
      <c r="H28" s="158"/>
      <c r="I28" s="158"/>
      <c r="J28" s="158"/>
      <c r="K28" s="159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-1322.9218311379307</v>
      </c>
      <c r="P66" s="71">
        <v>-1296.981711054141</v>
      </c>
      <c r="Q66" s="71">
        <v>-1271.0415909703511</v>
      </c>
      <c r="R66" s="71">
        <v>-1245.1014708865614</v>
      </c>
      <c r="S66" s="71">
        <v>-1219.1613508027713</v>
      </c>
      <c r="T66" s="71">
        <v>-1193.2212307189816</v>
      </c>
      <c r="U66" s="71">
        <v>-1167.2811106351917</v>
      </c>
      <c r="V66" s="71">
        <v>-1141.3409905514018</v>
      </c>
      <c r="W66" s="71">
        <v>-1115.4008704676121</v>
      </c>
      <c r="X66" s="71">
        <v>-1089.4607503838222</v>
      </c>
      <c r="Y66" s="71">
        <v>-1063.5206303000325</v>
      </c>
      <c r="Z66" s="71">
        <v>-1037.5805102162426</v>
      </c>
      <c r="AA66" s="71">
        <v>-1011.6403901324526</v>
      </c>
      <c r="AB66" s="71">
        <v>-985.70027004866279</v>
      </c>
      <c r="AC66" s="71">
        <v>-959.76014996487299</v>
      </c>
      <c r="AD66" s="71">
        <v>-933.8200298810832</v>
      </c>
      <c r="AE66" s="71">
        <v>-907.87990979729341</v>
      </c>
      <c r="AF66" s="71">
        <v>-881.93978971350339</v>
      </c>
      <c r="AG66" s="71">
        <v>-855.99966962971359</v>
      </c>
      <c r="AH66" s="71">
        <v>-830.05954954592369</v>
      </c>
      <c r="AI66" s="71">
        <v>-804.11942946213389</v>
      </c>
      <c r="AJ66" s="71">
        <v>-778.1793093783441</v>
      </c>
      <c r="AK66" s="71">
        <v>-752.23918929455431</v>
      </c>
      <c r="AL66" s="71">
        <v>-726.29906921076451</v>
      </c>
      <c r="AM66" s="71">
        <v>-700.35894912697461</v>
      </c>
      <c r="AN66" s="71">
        <v>-674.4188290431847</v>
      </c>
      <c r="AO66" s="71">
        <v>-648.47870895939491</v>
      </c>
      <c r="AP66" s="71">
        <v>-622.538588875605</v>
      </c>
      <c r="AQ66" s="71">
        <v>-596.59846879181521</v>
      </c>
      <c r="AR66" s="71">
        <v>-570.65834870802541</v>
      </c>
      <c r="AS66" s="71">
        <v>-544.71822862423562</v>
      </c>
      <c r="AT66" s="71">
        <v>-518.77810854044571</v>
      </c>
      <c r="AU66" s="71">
        <v>-492.83798845665586</v>
      </c>
      <c r="AV66" s="71">
        <v>-466.89786837286607</v>
      </c>
      <c r="AW66" s="71">
        <v>-440.95774828907616</v>
      </c>
      <c r="AX66" s="71">
        <v>-415.01762820528631</v>
      </c>
      <c r="AY66" s="71">
        <v>-389.07750812149652</v>
      </c>
      <c r="AZ66" s="71">
        <v>-363.13738803770673</v>
      </c>
      <c r="BA66" s="71">
        <v>-337.19726795391682</v>
      </c>
      <c r="BB66" s="71">
        <v>-311.25714787012697</v>
      </c>
      <c r="BC66" s="71">
        <v>-285.31702778633718</v>
      </c>
      <c r="BD66" s="71">
        <v>-259.37690770254727</v>
      </c>
      <c r="BE66" s="71">
        <v>-233.43678761875745</v>
      </c>
      <c r="BF66" s="71">
        <v>-207.49666753496766</v>
      </c>
      <c r="BG66" s="71">
        <v>-181.55654745117783</v>
      </c>
      <c r="BH66" s="71">
        <v>-155.61642736738804</v>
      </c>
      <c r="BI66" s="71">
        <v>-129.67630728359822</v>
      </c>
      <c r="BJ66" s="71">
        <v>-103.73618719980819</v>
      </c>
      <c r="BK66" s="71">
        <v>-77.796067116018378</v>
      </c>
      <c r="BL66" s="71">
        <v>-51.855947032228578</v>
      </c>
      <c r="BM66" s="71">
        <v>-25.91582694843877</v>
      </c>
      <c r="BN66" s="71">
        <v>2.4293135351035743E-2</v>
      </c>
      <c r="BO66" s="71">
        <v>25.964413219140841</v>
      </c>
      <c r="BP66" s="71">
        <v>51.904533302930652</v>
      </c>
      <c r="BQ66" s="71">
        <v>77.844653386720694</v>
      </c>
      <c r="BR66" s="71">
        <v>103.7847734705105</v>
      </c>
      <c r="BS66" s="71">
        <v>129.72489355430031</v>
      </c>
      <c r="BT66" s="71">
        <v>155.6650136380901</v>
      </c>
      <c r="BU66" s="71">
        <v>181.60513372187992</v>
      </c>
      <c r="BV66" s="71">
        <v>207.54525380566972</v>
      </c>
      <c r="BW66" s="71">
        <v>233.48537388945954</v>
      </c>
      <c r="BX66" s="71">
        <v>259.42549397324956</v>
      </c>
      <c r="BY66" s="71">
        <v>285.36561405703935</v>
      </c>
      <c r="BZ66" s="71">
        <v>311.3057341408292</v>
      </c>
      <c r="CA66" s="71">
        <v>337.24585422461899</v>
      </c>
      <c r="CB66" s="71">
        <v>363.18597430840879</v>
      </c>
      <c r="CC66" s="71">
        <v>389.12609439219858</v>
      </c>
      <c r="CD66" s="71">
        <v>415.06621447598843</v>
      </c>
      <c r="CE66" s="71">
        <v>441.00633455977845</v>
      </c>
      <c r="CF66" s="71">
        <v>466.94645464356825</v>
      </c>
      <c r="CG66" s="71">
        <v>492.88657472735804</v>
      </c>
      <c r="CH66" s="71">
        <v>518.82669481114783</v>
      </c>
      <c r="CI66" s="71">
        <v>544.76681489493762</v>
      </c>
      <c r="CJ66" s="71">
        <v>570.70693497872753</v>
      </c>
      <c r="CK66" s="71">
        <v>596.64705506251732</v>
      </c>
      <c r="CL66" s="71">
        <v>622.58717514630735</v>
      </c>
      <c r="CM66" s="71">
        <v>648.52729523009714</v>
      </c>
      <c r="CN66" s="71">
        <v>674.46741531388693</v>
      </c>
      <c r="CO66" s="71">
        <v>700.40753539767672</v>
      </c>
      <c r="CP66" s="71">
        <v>726.34765548146652</v>
      </c>
      <c r="CQ66" s="71">
        <v>752.28777556525631</v>
      </c>
      <c r="CR66" s="71">
        <v>778.22789564904645</v>
      </c>
      <c r="CS66" s="71">
        <v>804.16801573283624</v>
      </c>
      <c r="CT66" s="71">
        <v>830.10813581662603</v>
      </c>
      <c r="CU66" s="71">
        <v>856.04825590041582</v>
      </c>
      <c r="CV66" s="71">
        <v>881.98837598420562</v>
      </c>
      <c r="CW66" s="71">
        <v>907.92849606799541</v>
      </c>
      <c r="CX66" s="71">
        <v>933.8686161517852</v>
      </c>
      <c r="CY66" s="71">
        <v>959.808736235575</v>
      </c>
      <c r="CZ66" s="71">
        <v>985.7488563193649</v>
      </c>
      <c r="DA66" s="71">
        <v>1011.6889764031547</v>
      </c>
      <c r="DB66" s="71">
        <v>1037.6290964869445</v>
      </c>
      <c r="DC66" s="71">
        <v>1063.5692165707342</v>
      </c>
      <c r="DD66" s="71">
        <v>1089.5093366545245</v>
      </c>
      <c r="DE66" s="71">
        <v>1115.4494567383144</v>
      </c>
      <c r="DF66" s="71">
        <v>1141.3895768221041</v>
      </c>
      <c r="DG66" s="71">
        <v>1167.329696905894</v>
      </c>
      <c r="DH66" s="71">
        <v>1193.2698169896837</v>
      </c>
      <c r="DI66" s="71">
        <v>1219.2099370734736</v>
      </c>
      <c r="DJ66" s="71">
        <v>1245.1500571572635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896.86750312329912</v>
      </c>
      <c r="P67" s="71">
        <v>896.86750312329912</v>
      </c>
      <c r="Q67" s="71">
        <v>896.86750312329912</v>
      </c>
      <c r="R67" s="71">
        <v>896.87242886457898</v>
      </c>
      <c r="S67" s="71">
        <v>896.90475034210078</v>
      </c>
      <c r="T67" s="71">
        <v>896.96723727641199</v>
      </c>
      <c r="U67" s="71">
        <v>897.05988966751238</v>
      </c>
      <c r="V67" s="71">
        <v>897.18270751540217</v>
      </c>
      <c r="W67" s="71">
        <v>897.33569082008125</v>
      </c>
      <c r="X67" s="71">
        <v>897.51883958154974</v>
      </c>
      <c r="Y67" s="71">
        <v>897.73215379980752</v>
      </c>
      <c r="Z67" s="71">
        <v>897.97563347485459</v>
      </c>
      <c r="AA67" s="71">
        <v>898.24927860669106</v>
      </c>
      <c r="AB67" s="71">
        <v>898.55308919531694</v>
      </c>
      <c r="AC67" s="71">
        <v>898.88706524073189</v>
      </c>
      <c r="AD67" s="71">
        <v>899.25120674293635</v>
      </c>
      <c r="AE67" s="71">
        <v>899.64551370193021</v>
      </c>
      <c r="AF67" s="71">
        <v>900.06998611771326</v>
      </c>
      <c r="AG67" s="71">
        <v>900.52462399028582</v>
      </c>
      <c r="AH67" s="71">
        <v>901.00942731964756</v>
      </c>
      <c r="AI67" s="71">
        <v>901.5243961057987</v>
      </c>
      <c r="AJ67" s="71">
        <v>902.06953034873902</v>
      </c>
      <c r="AK67" s="71">
        <v>902.64483004846875</v>
      </c>
      <c r="AL67" s="71">
        <v>903.25029520498788</v>
      </c>
      <c r="AM67" s="71">
        <v>903.8859258182963</v>
      </c>
      <c r="AN67" s="71">
        <v>904.55172188839413</v>
      </c>
      <c r="AO67" s="71">
        <v>905.24768341528113</v>
      </c>
      <c r="AP67" s="71">
        <v>905.97381039895754</v>
      </c>
      <c r="AQ67" s="71">
        <v>906.73010283942335</v>
      </c>
      <c r="AR67" s="71">
        <v>907.51656073667846</v>
      </c>
      <c r="AS67" s="71">
        <v>908.33318409072285</v>
      </c>
      <c r="AT67" s="71">
        <v>909.17997290155654</v>
      </c>
      <c r="AU67" s="71">
        <v>910.05692716917952</v>
      </c>
      <c r="AV67" s="71">
        <v>910.96404689359201</v>
      </c>
      <c r="AW67" s="71">
        <v>911.9013320747938</v>
      </c>
      <c r="AX67" s="71">
        <v>912.86878271278488</v>
      </c>
      <c r="AY67" s="71">
        <v>913.86639880756525</v>
      </c>
      <c r="AZ67" s="71">
        <v>914.89418035913491</v>
      </c>
      <c r="BA67" s="71">
        <v>915.95212736749397</v>
      </c>
      <c r="BB67" s="71">
        <v>917.04023983264233</v>
      </c>
      <c r="BC67" s="71">
        <v>918.15851775457998</v>
      </c>
      <c r="BD67" s="71">
        <v>919.30696113330703</v>
      </c>
      <c r="BE67" s="71">
        <v>920.48556996882348</v>
      </c>
      <c r="BF67" s="71">
        <v>921.69434426112912</v>
      </c>
      <c r="BG67" s="71">
        <v>922.93328401022427</v>
      </c>
      <c r="BH67" s="71">
        <v>924.2023892161086</v>
      </c>
      <c r="BI67" s="71">
        <v>925.50165987878233</v>
      </c>
      <c r="BJ67" s="71">
        <v>926.83109599824536</v>
      </c>
      <c r="BK67" s="71">
        <v>928.19174129032024</v>
      </c>
      <c r="BL67" s="71">
        <v>929.65060513457775</v>
      </c>
      <c r="BM67" s="71">
        <v>931.24777853755313</v>
      </c>
      <c r="BN67" s="71">
        <v>932.98326149924674</v>
      </c>
      <c r="BO67" s="71">
        <v>934.85705401965822</v>
      </c>
      <c r="BP67" s="71">
        <v>936.86915609878793</v>
      </c>
      <c r="BQ67" s="71">
        <v>939.01956773663574</v>
      </c>
      <c r="BR67" s="71">
        <v>941.30828893320142</v>
      </c>
      <c r="BS67" s="71">
        <v>943.73531968848533</v>
      </c>
      <c r="BT67" s="71">
        <v>946.30066000248735</v>
      </c>
      <c r="BU67" s="71">
        <v>949.00430987520735</v>
      </c>
      <c r="BV67" s="71">
        <v>951.84626930664535</v>
      </c>
      <c r="BW67" s="71">
        <v>954.82653829680146</v>
      </c>
      <c r="BX67" s="71">
        <v>957.9451168456759</v>
      </c>
      <c r="BY67" s="71">
        <v>961.2020049532681</v>
      </c>
      <c r="BZ67" s="71">
        <v>964.59720261957841</v>
      </c>
      <c r="CA67" s="71">
        <v>968.13070984460694</v>
      </c>
      <c r="CB67" s="71">
        <v>971.80252662835335</v>
      </c>
      <c r="CC67" s="71">
        <v>975.61265297081798</v>
      </c>
      <c r="CD67" s="71">
        <v>979.5610888720006</v>
      </c>
      <c r="CE67" s="71">
        <v>983.64783433190132</v>
      </c>
      <c r="CF67" s="71">
        <v>987.87288935052015</v>
      </c>
      <c r="CG67" s="71">
        <v>992.23625392785686</v>
      </c>
      <c r="CH67" s="71">
        <v>996.7379280639118</v>
      </c>
      <c r="CI67" s="71">
        <v>1001.3779117586848</v>
      </c>
      <c r="CJ67" s="71">
        <v>1006.1562050121759</v>
      </c>
      <c r="CK67" s="71">
        <v>1011.072807824385</v>
      </c>
      <c r="CL67" s="71">
        <v>1016.1277201953121</v>
      </c>
      <c r="CM67" s="71">
        <v>1021.3209421249575</v>
      </c>
      <c r="CN67" s="71">
        <v>1026.6524736133208</v>
      </c>
      <c r="CO67" s="71">
        <v>1032.122314660402</v>
      </c>
      <c r="CP67" s="71">
        <v>1037.7304652662017</v>
      </c>
      <c r="CQ67" s="71">
        <v>1043.4769254307191</v>
      </c>
      <c r="CR67" s="71">
        <v>1049.361695153955</v>
      </c>
      <c r="CS67" s="71">
        <v>1055.3847744359086</v>
      </c>
      <c r="CT67" s="71">
        <v>1061.5461632765803</v>
      </c>
      <c r="CU67" s="71">
        <v>1067.8458616759701</v>
      </c>
      <c r="CV67" s="71">
        <v>1074.283869634078</v>
      </c>
      <c r="CW67" s="71">
        <v>1080.8601871509038</v>
      </c>
      <c r="CX67" s="71">
        <v>1087.5748142264479</v>
      </c>
      <c r="CY67" s="71">
        <v>1094.4277508607099</v>
      </c>
      <c r="CZ67" s="71">
        <v>1101.41899705369</v>
      </c>
      <c r="DA67" s="71">
        <v>1108.5485528053885</v>
      </c>
      <c r="DB67" s="71">
        <v>1115.8164181158045</v>
      </c>
      <c r="DC67" s="71">
        <v>1123.222592984939</v>
      </c>
      <c r="DD67" s="71">
        <v>1130.7670774127917</v>
      </c>
      <c r="DE67" s="71">
        <v>1138.4498713993619</v>
      </c>
      <c r="DF67" s="71">
        <v>1146.2709749446506</v>
      </c>
      <c r="DG67" s="71">
        <v>1154.2303880486572</v>
      </c>
      <c r="DH67" s="71">
        <v>1162.3281107113817</v>
      </c>
      <c r="DI67" s="71">
        <v>1170.5641429328246</v>
      </c>
      <c r="DJ67" s="71">
        <v>1178.9384847129857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-106.21935475653824</v>
      </c>
      <c r="P68" s="71">
        <v>-106.21935475653824</v>
      </c>
      <c r="Q68" s="71">
        <v>-106.21935475653824</v>
      </c>
      <c r="R68" s="71">
        <v>-106.20438899403155</v>
      </c>
      <c r="S68" s="71">
        <v>-106.10618741807164</v>
      </c>
      <c r="T68" s="71">
        <v>-105.9163348526338</v>
      </c>
      <c r="U68" s="71">
        <v>-105.63483129771799</v>
      </c>
      <c r="V68" s="71">
        <v>-105.26167675332424</v>
      </c>
      <c r="W68" s="71">
        <v>-104.79687121945253</v>
      </c>
      <c r="X68" s="71">
        <v>-104.24041469610286</v>
      </c>
      <c r="Y68" s="71">
        <v>-103.59230718327525</v>
      </c>
      <c r="Z68" s="71">
        <v>-102.85254868096968</v>
      </c>
      <c r="AA68" s="71">
        <v>-102.02113918918614</v>
      </c>
      <c r="AB68" s="71">
        <v>-101.09807870792466</v>
      </c>
      <c r="AC68" s="71">
        <v>-100.08336723718523</v>
      </c>
      <c r="AD68" s="71">
        <v>-98.977004776967831</v>
      </c>
      <c r="AE68" s="71">
        <v>-97.778991327272493</v>
      </c>
      <c r="AF68" s="71">
        <v>-96.4893268880992</v>
      </c>
      <c r="AG68" s="71">
        <v>-95.108011459447951</v>
      </c>
      <c r="AH68" s="71">
        <v>-93.635045041318719</v>
      </c>
      <c r="AI68" s="71">
        <v>-92.07042763371156</v>
      </c>
      <c r="AJ68" s="71">
        <v>-90.414159236626446</v>
      </c>
      <c r="AK68" s="71">
        <v>-88.666239850063377</v>
      </c>
      <c r="AL68" s="71">
        <v>-86.826669474022367</v>
      </c>
      <c r="AM68" s="71">
        <v>-84.895448108503373</v>
      </c>
      <c r="AN68" s="71">
        <v>-82.872575753506467</v>
      </c>
      <c r="AO68" s="71">
        <v>-80.758052409031563</v>
      </c>
      <c r="AP68" s="71">
        <v>-78.551878075078719</v>
      </c>
      <c r="AQ68" s="71">
        <v>-76.254052751647933</v>
      </c>
      <c r="AR68" s="71">
        <v>-73.864576438739192</v>
      </c>
      <c r="AS68" s="71">
        <v>-71.383449136352482</v>
      </c>
      <c r="AT68" s="71">
        <v>-68.810670844487817</v>
      </c>
      <c r="AU68" s="71">
        <v>-66.14624156314521</v>
      </c>
      <c r="AV68" s="71">
        <v>-63.390161292324642</v>
      </c>
      <c r="AW68" s="71">
        <v>-60.542430032026118</v>
      </c>
      <c r="AX68" s="71">
        <v>-57.603047782249647</v>
      </c>
      <c r="AY68" s="71">
        <v>-54.572014542995227</v>
      </c>
      <c r="AZ68" s="71">
        <v>-51.449330314262845</v>
      </c>
      <c r="BA68" s="71">
        <v>-48.234995096052494</v>
      </c>
      <c r="BB68" s="71">
        <v>-44.929008888364208</v>
      </c>
      <c r="BC68" s="71">
        <v>-41.531371691197968</v>
      </c>
      <c r="BD68" s="71">
        <v>-38.042083504553759</v>
      </c>
      <c r="BE68" s="71">
        <v>-34.461144328431608</v>
      </c>
      <c r="BF68" s="71">
        <v>-30.78855416283151</v>
      </c>
      <c r="BG68" s="71">
        <v>-27.024313007753452</v>
      </c>
      <c r="BH68" s="71">
        <v>-23.168420863197444</v>
      </c>
      <c r="BI68" s="71">
        <v>-19.22087772916348</v>
      </c>
      <c r="BJ68" s="71">
        <v>-15.181683605651525</v>
      </c>
      <c r="BK68" s="71">
        <v>-11.050048143143558</v>
      </c>
      <c r="BL68" s="71">
        <v>-6.7752287642981592</v>
      </c>
      <c r="BM68" s="71">
        <v>-2.3268667191482519</v>
      </c>
      <c r="BN68" s="71">
        <v>2.2950379923061668</v>
      </c>
      <c r="BO68" s="71">
        <v>7.090485370065096</v>
      </c>
      <c r="BP68" s="71">
        <v>12.059475414128535</v>
      </c>
      <c r="BQ68" s="71">
        <v>17.202008124496533</v>
      </c>
      <c r="BR68" s="71">
        <v>22.518083501168995</v>
      </c>
      <c r="BS68" s="71">
        <v>28.007701544145966</v>
      </c>
      <c r="BT68" s="71">
        <v>33.670862253427451</v>
      </c>
      <c r="BU68" s="71">
        <v>39.507565629013449</v>
      </c>
      <c r="BV68" s="71">
        <v>45.517811670903953</v>
      </c>
      <c r="BW68" s="71">
        <v>51.70160037909897</v>
      </c>
      <c r="BX68" s="71">
        <v>58.05893175359855</v>
      </c>
      <c r="BY68" s="71">
        <v>64.589805794402579</v>
      </c>
      <c r="BZ68" s="71">
        <v>71.294222501511129</v>
      </c>
      <c r="CA68" s="71">
        <v>78.172181874924192</v>
      </c>
      <c r="CB68" s="71">
        <v>85.223683914641754</v>
      </c>
      <c r="CC68" s="71">
        <v>92.448728620663843</v>
      </c>
      <c r="CD68" s="71">
        <v>99.847315992990431</v>
      </c>
      <c r="CE68" s="71">
        <v>107.4194460316216</v>
      </c>
      <c r="CF68" s="71">
        <v>115.1651187365572</v>
      </c>
      <c r="CG68" s="71">
        <v>123.08433410779733</v>
      </c>
      <c r="CH68" s="71">
        <v>131.17709214534196</v>
      </c>
      <c r="CI68" s="71">
        <v>139.4433928491911</v>
      </c>
      <c r="CJ68" s="71">
        <v>147.88323621934472</v>
      </c>
      <c r="CK68" s="71">
        <v>156.49662225580292</v>
      </c>
      <c r="CL68" s="71">
        <v>165.28355095856568</v>
      </c>
      <c r="CM68" s="71">
        <v>174.24402232763288</v>
      </c>
      <c r="CN68" s="71">
        <v>183.37803636300455</v>
      </c>
      <c r="CO68" s="71">
        <v>192.68559306468075</v>
      </c>
      <c r="CP68" s="71">
        <v>202.16669243266145</v>
      </c>
      <c r="CQ68" s="71">
        <v>211.82133446694672</v>
      </c>
      <c r="CR68" s="71">
        <v>221.64951916753657</v>
      </c>
      <c r="CS68" s="71">
        <v>231.65124653443081</v>
      </c>
      <c r="CT68" s="71">
        <v>241.82651656762954</v>
      </c>
      <c r="CU68" s="71">
        <v>252.17532926713281</v>
      </c>
      <c r="CV68" s="71">
        <v>262.69768463294059</v>
      </c>
      <c r="CW68" s="71">
        <v>273.39358266505292</v>
      </c>
      <c r="CX68" s="71">
        <v>284.2630233634697</v>
      </c>
      <c r="CY68" s="71">
        <v>295.30600672819099</v>
      </c>
      <c r="CZ68" s="71">
        <v>306.52253275921686</v>
      </c>
      <c r="DA68" s="71">
        <v>317.91260145654718</v>
      </c>
      <c r="DB68" s="71">
        <v>329.47621282018201</v>
      </c>
      <c r="DC68" s="71">
        <v>341.21336685012136</v>
      </c>
      <c r="DD68" s="71">
        <v>353.12406354636551</v>
      </c>
      <c r="DE68" s="71">
        <v>365.20830290891388</v>
      </c>
      <c r="DF68" s="71">
        <v>377.46608493776671</v>
      </c>
      <c r="DG68" s="71">
        <v>389.89740963292411</v>
      </c>
      <c r="DH68" s="71">
        <v>402.50227699438602</v>
      </c>
      <c r="DI68" s="71">
        <v>415.28068702215245</v>
      </c>
      <c r="DJ68" s="71">
        <v>428.23263971622356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1185.857197292632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120.51030603749113</v>
      </c>
      <c r="K85" s="79">
        <v>942.85733767534487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-1259.9255534646959</v>
      </c>
      <c r="K86" s="79">
        <v>896.86750312329912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932981.5715018434</v>
      </c>
      <c r="J89" s="80">
        <v>6.9564373919123096E-2</v>
      </c>
      <c r="K89" s="80">
        <v>1.0277281106031538E-7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932449.12290349207</v>
      </c>
      <c r="J90" s="80">
        <v>5.6482098775354372E-2</v>
      </c>
      <c r="K90" s="80">
        <v>2.2414855631760569E-8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896867.5031232991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-11.630230394989466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1185.857197292632</v>
      </c>
      <c r="K114" s="79">
        <v>398.88261410412127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120.51030603749113</v>
      </c>
      <c r="K115" s="79">
        <v>26.037776074079577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-1259.9255534646959</v>
      </c>
      <c r="K116" s="79">
        <v>-106.21935475653824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2.2906283546485167</v>
      </c>
      <c r="J119" s="80">
        <v>1.815147156322453E-4</v>
      </c>
      <c r="K119" s="80">
        <v>1.2895325399289848E-10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1.8874338413529368</v>
      </c>
      <c r="J120" s="80">
        <v>1.7160821653407383E-4</v>
      </c>
      <c r="K120" s="80">
        <v>6.8102522431648756E-11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-106.21935475653824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2.0853981633974481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2307.8784491005872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16.780534071968088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5114.2497629796226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131532.7535591429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1.0388819485990615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1833.7107597259278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-341.35132096685641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-486.28924027407209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-350.8849922237672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-1178.5255534646958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B.4.4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7.3583850012025387E-2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B.4.5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B.4.6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59.999999999999993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5.2832960278503753E-2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0.16052112588220141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201.57068349663211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354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355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356</v>
      </c>
      <c r="J171" s="125">
        <v>-35.328346391219618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357</v>
      </c>
      <c r="J172" s="125">
        <v>-11.630230394989466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358</v>
      </c>
      <c r="J173" s="125">
        <v>3.3979222369361932E-3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359</v>
      </c>
      <c r="J174" s="125">
        <v>-35.284945474277087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360</v>
      </c>
      <c r="J175" s="63">
        <v>-11.614649058185766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3" priority="3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1"/>
  <sheetViews>
    <sheetView showGridLines="0" zoomScaleNormal="100" workbookViewId="0">
      <pane ySplit="1" topLeftCell="A159" activePane="bottomLeft" state="frozen"/>
      <selection pane="bottomLeft" activeCell="K170" sqref="K170:DE17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0" t="s">
        <v>17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</row>
    <row r="4" spans="1:15" s="46" customFormat="1" ht="20.100000000000001" hidden="1" customHeight="1" outlineLevel="1">
      <c r="A4" s="47" t="s">
        <v>16</v>
      </c>
      <c r="B4" s="162" t="s">
        <v>15</v>
      </c>
      <c r="C4" s="162"/>
      <c r="D4" s="162"/>
      <c r="E4" s="162"/>
      <c r="F4" s="162"/>
      <c r="G4" s="162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3"/>
      <c r="C5" s="164"/>
      <c r="D5" s="164"/>
      <c r="E5" s="164"/>
      <c r="F5" s="164"/>
      <c r="G5" s="16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3"/>
      <c r="C6" s="164"/>
      <c r="D6" s="164"/>
      <c r="E6" s="164"/>
      <c r="F6" s="164"/>
      <c r="G6" s="16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3"/>
      <c r="C7" s="164"/>
      <c r="D7" s="164"/>
      <c r="E7" s="164"/>
      <c r="F7" s="164"/>
      <c r="G7" s="16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3"/>
      <c r="C8" s="164"/>
      <c r="D8" s="164"/>
      <c r="E8" s="164"/>
      <c r="F8" s="164"/>
      <c r="G8" s="16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3"/>
      <c r="C9" s="164"/>
      <c r="D9" s="164"/>
      <c r="E9" s="164"/>
      <c r="F9" s="164"/>
      <c r="G9" s="16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293</v>
      </c>
      <c r="B11" s="37" t="s">
        <v>291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6" t="s">
        <v>101</v>
      </c>
      <c r="C13" s="166"/>
      <c r="D13" s="168" t="str">
        <f>Gap30deg!D13</f>
        <v>SP2200052</v>
      </c>
      <c r="E13" s="168"/>
      <c r="F13" s="168"/>
      <c r="G13" s="168"/>
      <c r="H13" s="168"/>
      <c r="I13" s="168"/>
      <c r="J13" s="168"/>
      <c r="K13" s="168"/>
      <c r="L13" s="86"/>
    </row>
    <row r="14" spans="1:15" s="85" customFormat="1" ht="20.100000000000001" customHeight="1" outlineLevel="1">
      <c r="A14" s="87"/>
      <c r="B14" s="166" t="s">
        <v>100</v>
      </c>
      <c r="C14" s="166"/>
      <c r="D14" s="168" t="str">
        <f>Gap30deg!D14</f>
        <v>Stichting GROW</v>
      </c>
      <c r="E14" s="168"/>
      <c r="F14" s="168"/>
      <c r="G14" s="168"/>
      <c r="H14" s="168"/>
      <c r="I14" s="168"/>
      <c r="J14" s="168"/>
      <c r="K14" s="168"/>
      <c r="L14" s="86"/>
    </row>
    <row r="15" spans="1:15" s="85" customFormat="1" ht="20.100000000000001" customHeight="1" outlineLevel="1">
      <c r="A15" s="87"/>
      <c r="B15" s="166" t="s">
        <v>99</v>
      </c>
      <c r="C15" s="166"/>
      <c r="D15" s="168" t="str">
        <f>Gap30deg!D15</f>
        <v>Bolt and Beautiful</v>
      </c>
      <c r="E15" s="168"/>
      <c r="F15" s="168"/>
      <c r="G15" s="168"/>
      <c r="H15" s="168"/>
      <c r="I15" s="168"/>
      <c r="J15" s="168"/>
      <c r="K15" s="168"/>
      <c r="L15" s="86"/>
    </row>
    <row r="16" spans="1:15" s="85" customFormat="1" ht="20.100000000000001" customHeight="1" outlineLevel="1">
      <c r="A16" s="87"/>
      <c r="B16" s="166" t="s">
        <v>98</v>
      </c>
      <c r="C16" s="166"/>
      <c r="D16" s="168" t="str">
        <f>Title</f>
        <v>Flange Segment Analytical Model for 90° gap size</v>
      </c>
      <c r="E16" s="168"/>
      <c r="F16" s="168"/>
      <c r="G16" s="168"/>
      <c r="H16" s="168"/>
      <c r="I16" s="168"/>
      <c r="J16" s="168"/>
      <c r="K16" s="168"/>
      <c r="L16" s="86"/>
      <c r="M16" s="88"/>
    </row>
    <row r="17" spans="1:22" s="85" customFormat="1" ht="20.100000000000001" customHeight="1" outlineLevel="1">
      <c r="A17" s="87"/>
      <c r="B17" s="166" t="s">
        <v>97</v>
      </c>
      <c r="C17" s="166"/>
      <c r="D17" s="168" t="str">
        <f>Gap30deg!D17</f>
        <v>0.10</v>
      </c>
      <c r="E17" s="168"/>
      <c r="F17" s="168"/>
      <c r="G17" s="168"/>
      <c r="H17" s="168"/>
      <c r="I17" s="168"/>
      <c r="J17" s="168"/>
      <c r="K17" s="168"/>
      <c r="L17" s="86"/>
    </row>
    <row r="18" spans="1:22" s="85" customFormat="1" ht="20.100000000000001" customHeight="1" outlineLevel="1">
      <c r="A18" s="87"/>
      <c r="B18" s="166" t="s">
        <v>96</v>
      </c>
      <c r="C18" s="166"/>
      <c r="D18" s="167">
        <f>Gap30deg!D18</f>
        <v>45432</v>
      </c>
      <c r="E18" s="167"/>
      <c r="F18" s="167"/>
      <c r="G18" s="167"/>
      <c r="H18" s="167"/>
      <c r="I18" s="167"/>
      <c r="J18" s="167"/>
      <c r="K18" s="16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7"/>
      <c r="C28" s="158"/>
      <c r="D28" s="158"/>
      <c r="E28" s="158"/>
      <c r="F28" s="158"/>
      <c r="G28" s="158"/>
      <c r="H28" s="158"/>
      <c r="I28" s="158"/>
      <c r="J28" s="158"/>
      <c r="K28" s="159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-1281.0166084742832</v>
      </c>
      <c r="P66" s="71">
        <v>-1255.2817458888678</v>
      </c>
      <c r="Q66" s="71">
        <v>-1229.5468833034524</v>
      </c>
      <c r="R66" s="71">
        <v>-1203.812020718037</v>
      </c>
      <c r="S66" s="71">
        <v>-1178.0771581326221</v>
      </c>
      <c r="T66" s="71">
        <v>-1152.3422955472067</v>
      </c>
      <c r="U66" s="71">
        <v>-1126.6074329617913</v>
      </c>
      <c r="V66" s="71">
        <v>-1100.872570376376</v>
      </c>
      <c r="W66" s="71">
        <v>-1075.1377077909606</v>
      </c>
      <c r="X66" s="71">
        <v>-1049.4028452055452</v>
      </c>
      <c r="Y66" s="71">
        <v>-1023.6679826201298</v>
      </c>
      <c r="Z66" s="71">
        <v>-997.93312003471453</v>
      </c>
      <c r="AA66" s="71">
        <v>-972.19825744929926</v>
      </c>
      <c r="AB66" s="71">
        <v>-946.46339486388388</v>
      </c>
      <c r="AC66" s="71">
        <v>-920.72853227846861</v>
      </c>
      <c r="AD66" s="71">
        <v>-894.99366969305322</v>
      </c>
      <c r="AE66" s="71">
        <v>-869.25880710763784</v>
      </c>
      <c r="AF66" s="71">
        <v>-843.52394452222245</v>
      </c>
      <c r="AG66" s="71">
        <v>-817.78908193680718</v>
      </c>
      <c r="AH66" s="71">
        <v>-792.05421935139191</v>
      </c>
      <c r="AI66" s="71">
        <v>-766.31935676597652</v>
      </c>
      <c r="AJ66" s="71">
        <v>-740.58449418056114</v>
      </c>
      <c r="AK66" s="71">
        <v>-714.84963159514587</v>
      </c>
      <c r="AL66" s="71">
        <v>-689.11476900973059</v>
      </c>
      <c r="AM66" s="71">
        <v>-663.37990642431521</v>
      </c>
      <c r="AN66" s="71">
        <v>-637.64504383889982</v>
      </c>
      <c r="AO66" s="71">
        <v>-611.91018125348444</v>
      </c>
      <c r="AP66" s="71">
        <v>-586.17531866806917</v>
      </c>
      <c r="AQ66" s="71">
        <v>-560.44045608265378</v>
      </c>
      <c r="AR66" s="71">
        <v>-534.70559349723851</v>
      </c>
      <c r="AS66" s="71">
        <v>-508.97073091182324</v>
      </c>
      <c r="AT66" s="71">
        <v>-483.23586832640785</v>
      </c>
      <c r="AU66" s="71">
        <v>-457.50100574099247</v>
      </c>
      <c r="AV66" s="71">
        <v>-431.76614315557714</v>
      </c>
      <c r="AW66" s="71">
        <v>-406.03128057016175</v>
      </c>
      <c r="AX66" s="71">
        <v>-380.29641798474654</v>
      </c>
      <c r="AY66" s="71">
        <v>-354.56155539933116</v>
      </c>
      <c r="AZ66" s="71">
        <v>-328.82669281391577</v>
      </c>
      <c r="BA66" s="71">
        <v>-303.09183022850056</v>
      </c>
      <c r="BB66" s="71">
        <v>-277.35696764308517</v>
      </c>
      <c r="BC66" s="71">
        <v>-251.62210505766981</v>
      </c>
      <c r="BD66" s="71">
        <v>-225.88724247225443</v>
      </c>
      <c r="BE66" s="71">
        <v>-200.15237988683907</v>
      </c>
      <c r="BF66" s="71">
        <v>-174.41751730142371</v>
      </c>
      <c r="BG66" s="71">
        <v>-148.68265471600859</v>
      </c>
      <c r="BH66" s="71">
        <v>-122.94779213059321</v>
      </c>
      <c r="BI66" s="71">
        <v>-97.212929545177843</v>
      </c>
      <c r="BJ66" s="71">
        <v>-71.478066959762486</v>
      </c>
      <c r="BK66" s="71">
        <v>-45.743204374347116</v>
      </c>
      <c r="BL66" s="71">
        <v>-20.008341788931748</v>
      </c>
      <c r="BM66" s="71">
        <v>5.7265207964836158</v>
      </c>
      <c r="BN66" s="71">
        <v>31.46138338189898</v>
      </c>
      <c r="BO66" s="71">
        <v>57.196245967314347</v>
      </c>
      <c r="BP66" s="71">
        <v>82.931108552729484</v>
      </c>
      <c r="BQ66" s="71">
        <v>108.66597113814484</v>
      </c>
      <c r="BR66" s="71">
        <v>134.4008337235602</v>
      </c>
      <c r="BS66" s="71">
        <v>160.13569630897558</v>
      </c>
      <c r="BT66" s="71">
        <v>185.87055889439094</v>
      </c>
      <c r="BU66" s="71">
        <v>211.6054214798063</v>
      </c>
      <c r="BV66" s="71">
        <v>237.34028406522168</v>
      </c>
      <c r="BW66" s="71">
        <v>263.07514665063678</v>
      </c>
      <c r="BX66" s="71">
        <v>288.81000923605217</v>
      </c>
      <c r="BY66" s="71">
        <v>314.54487182146755</v>
      </c>
      <c r="BZ66" s="71">
        <v>340.27973440688288</v>
      </c>
      <c r="CA66" s="71">
        <v>366.01459699229827</v>
      </c>
      <c r="CB66" s="71">
        <v>391.74945957771365</v>
      </c>
      <c r="CC66" s="71">
        <v>417.48432216312898</v>
      </c>
      <c r="CD66" s="71">
        <v>443.21918474854436</v>
      </c>
      <c r="CE66" s="71">
        <v>468.95404733395975</v>
      </c>
      <c r="CF66" s="71">
        <v>494.68890991937485</v>
      </c>
      <c r="CG66" s="71">
        <v>520.42377250479024</v>
      </c>
      <c r="CH66" s="71">
        <v>546.15863509020562</v>
      </c>
      <c r="CI66" s="71">
        <v>571.89349767562101</v>
      </c>
      <c r="CJ66" s="71">
        <v>597.62836026103628</v>
      </c>
      <c r="CK66" s="71">
        <v>623.36322284645166</v>
      </c>
      <c r="CL66" s="71">
        <v>649.09808543186705</v>
      </c>
      <c r="CM66" s="71">
        <v>674.83294801728221</v>
      </c>
      <c r="CN66" s="71">
        <v>700.56781060269759</v>
      </c>
      <c r="CO66" s="71">
        <v>726.30267318811286</v>
      </c>
      <c r="CP66" s="71">
        <v>752.03753577352825</v>
      </c>
      <c r="CQ66" s="71">
        <v>777.77239835894363</v>
      </c>
      <c r="CR66" s="71">
        <v>803.50726094435902</v>
      </c>
      <c r="CS66" s="71">
        <v>829.2421235297744</v>
      </c>
      <c r="CT66" s="71">
        <v>854.97698611518945</v>
      </c>
      <c r="CU66" s="71">
        <v>880.71184870060506</v>
      </c>
      <c r="CV66" s="71">
        <v>906.44671128602022</v>
      </c>
      <c r="CW66" s="71">
        <v>932.18157387143583</v>
      </c>
      <c r="CX66" s="71">
        <v>957.91643645685099</v>
      </c>
      <c r="CY66" s="71">
        <v>983.65129904226615</v>
      </c>
      <c r="CZ66" s="71">
        <v>1009.3861616276816</v>
      </c>
      <c r="DA66" s="71">
        <v>1035.1210242130969</v>
      </c>
      <c r="DB66" s="71">
        <v>1060.8558867985125</v>
      </c>
      <c r="DC66" s="71">
        <v>1086.5907493839275</v>
      </c>
      <c r="DD66" s="71">
        <v>1112.3256119693431</v>
      </c>
      <c r="DE66" s="71">
        <v>1138.0604745547582</v>
      </c>
      <c r="DF66" s="71">
        <v>1163.7953371401738</v>
      </c>
      <c r="DG66" s="71">
        <v>1189.530199725589</v>
      </c>
      <c r="DH66" s="71">
        <v>1215.2650623110042</v>
      </c>
      <c r="DI66" s="71">
        <v>1240.9999248964198</v>
      </c>
      <c r="DJ66" s="71">
        <v>1266.7347874818349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898.93228181041604</v>
      </c>
      <c r="P67" s="71">
        <v>898.93228181041604</v>
      </c>
      <c r="Q67" s="71">
        <v>898.93228181041604</v>
      </c>
      <c r="R67" s="71">
        <v>898.93816875701759</v>
      </c>
      <c r="S67" s="71">
        <v>898.97171715177876</v>
      </c>
      <c r="T67" s="71">
        <v>899.03496375275643</v>
      </c>
      <c r="U67" s="71">
        <v>899.12790855995081</v>
      </c>
      <c r="V67" s="71">
        <v>899.25055157336158</v>
      </c>
      <c r="W67" s="71">
        <v>899.40289279298906</v>
      </c>
      <c r="X67" s="71">
        <v>899.58493221883305</v>
      </c>
      <c r="Y67" s="71">
        <v>899.79666985089352</v>
      </c>
      <c r="Z67" s="71">
        <v>900.03810568917072</v>
      </c>
      <c r="AA67" s="71">
        <v>900.30923973366441</v>
      </c>
      <c r="AB67" s="71">
        <v>900.61007198437483</v>
      </c>
      <c r="AC67" s="71">
        <v>900.94060244130162</v>
      </c>
      <c r="AD67" s="71">
        <v>901.30083110444502</v>
      </c>
      <c r="AE67" s="71">
        <v>901.69075797380503</v>
      </c>
      <c r="AF67" s="71">
        <v>902.11038304938165</v>
      </c>
      <c r="AG67" s="71">
        <v>902.55970633117477</v>
      </c>
      <c r="AH67" s="71">
        <v>903.0387278191846</v>
      </c>
      <c r="AI67" s="71">
        <v>903.54744751341093</v>
      </c>
      <c r="AJ67" s="71">
        <v>904.08586541385375</v>
      </c>
      <c r="AK67" s="71">
        <v>904.6539815205133</v>
      </c>
      <c r="AL67" s="71">
        <v>905.25179583338934</v>
      </c>
      <c r="AM67" s="71">
        <v>905.87930835248187</v>
      </c>
      <c r="AN67" s="71">
        <v>906.53651907779113</v>
      </c>
      <c r="AO67" s="71">
        <v>907.22342800931688</v>
      </c>
      <c r="AP67" s="71">
        <v>907.94003514705935</v>
      </c>
      <c r="AQ67" s="71">
        <v>908.68634049101831</v>
      </c>
      <c r="AR67" s="71">
        <v>909.46234404119377</v>
      </c>
      <c r="AS67" s="71">
        <v>910.26804579758573</v>
      </c>
      <c r="AT67" s="71">
        <v>911.1034457601944</v>
      </c>
      <c r="AU67" s="71">
        <v>911.96854392901969</v>
      </c>
      <c r="AV67" s="71">
        <v>912.86334030406158</v>
      </c>
      <c r="AW67" s="71">
        <v>913.78783488531985</v>
      </c>
      <c r="AX67" s="71">
        <v>914.74202767279473</v>
      </c>
      <c r="AY67" s="71">
        <v>915.72591866648622</v>
      </c>
      <c r="AZ67" s="71">
        <v>916.73950786639443</v>
      </c>
      <c r="BA67" s="71">
        <v>917.78279527251914</v>
      </c>
      <c r="BB67" s="71">
        <v>918.85578088486034</v>
      </c>
      <c r="BC67" s="71">
        <v>919.95846470341814</v>
      </c>
      <c r="BD67" s="71">
        <v>921.09084672819267</v>
      </c>
      <c r="BE67" s="71">
        <v>922.25292695918358</v>
      </c>
      <c r="BF67" s="71">
        <v>923.4447053963911</v>
      </c>
      <c r="BG67" s="71">
        <v>924.66618203981523</v>
      </c>
      <c r="BH67" s="71">
        <v>925.91735688945596</v>
      </c>
      <c r="BI67" s="71">
        <v>927.19822994531319</v>
      </c>
      <c r="BJ67" s="71">
        <v>928.51646220595433</v>
      </c>
      <c r="BK67" s="71">
        <v>929.94801193211504</v>
      </c>
      <c r="BL67" s="71">
        <v>931.51233798719613</v>
      </c>
      <c r="BM67" s="71">
        <v>933.20944037119762</v>
      </c>
      <c r="BN67" s="71">
        <v>935.03931908411948</v>
      </c>
      <c r="BO67" s="71">
        <v>937.00197412596174</v>
      </c>
      <c r="BP67" s="71">
        <v>939.09740549672438</v>
      </c>
      <c r="BQ67" s="71">
        <v>941.32561319640729</v>
      </c>
      <c r="BR67" s="71">
        <v>943.6865972250107</v>
      </c>
      <c r="BS67" s="71">
        <v>946.1803575825345</v>
      </c>
      <c r="BT67" s="71">
        <v>948.80689426897868</v>
      </c>
      <c r="BU67" s="71">
        <v>951.56620728434325</v>
      </c>
      <c r="BV67" s="71">
        <v>954.4582966286282</v>
      </c>
      <c r="BW67" s="71">
        <v>957.48316230183343</v>
      </c>
      <c r="BX67" s="71">
        <v>960.64080430395916</v>
      </c>
      <c r="BY67" s="71">
        <v>963.93122263500516</v>
      </c>
      <c r="BZ67" s="71">
        <v>967.35441729497165</v>
      </c>
      <c r="CA67" s="71">
        <v>970.91038828385842</v>
      </c>
      <c r="CB67" s="71">
        <v>974.59913560166558</v>
      </c>
      <c r="CC67" s="71">
        <v>978.42065924839324</v>
      </c>
      <c r="CD67" s="71">
        <v>982.37495922404116</v>
      </c>
      <c r="CE67" s="71">
        <v>986.46203552860948</v>
      </c>
      <c r="CF67" s="71">
        <v>990.68188816209829</v>
      </c>
      <c r="CG67" s="71">
        <v>995.03451712450737</v>
      </c>
      <c r="CH67" s="71">
        <v>999.51992241583696</v>
      </c>
      <c r="CI67" s="71">
        <v>1004.1381040360868</v>
      </c>
      <c r="CJ67" s="71">
        <v>1008.8890619852571</v>
      </c>
      <c r="CK67" s="71">
        <v>1013.7727962633477</v>
      </c>
      <c r="CL67" s="71">
        <v>1018.7893068703588</v>
      </c>
      <c r="CM67" s="71">
        <v>1023.9385938062901</v>
      </c>
      <c r="CN67" s="71">
        <v>1029.2206570711419</v>
      </c>
      <c r="CO67" s="71">
        <v>1034.6354966649142</v>
      </c>
      <c r="CP67" s="71">
        <v>1040.1831125876067</v>
      </c>
      <c r="CQ67" s="71">
        <v>1045.8635048392196</v>
      </c>
      <c r="CR67" s="71">
        <v>1051.6766734197529</v>
      </c>
      <c r="CS67" s="71">
        <v>1057.6226183292067</v>
      </c>
      <c r="CT67" s="71">
        <v>1063.7013395675808</v>
      </c>
      <c r="CU67" s="71">
        <v>1069.9128371348752</v>
      </c>
      <c r="CV67" s="71">
        <v>1076.2571110310898</v>
      </c>
      <c r="CW67" s="71">
        <v>1082.7341612562252</v>
      </c>
      <c r="CX67" s="71">
        <v>1089.3439878102809</v>
      </c>
      <c r="CY67" s="71">
        <v>1096.0865906932568</v>
      </c>
      <c r="CZ67" s="71">
        <v>1102.9619699051532</v>
      </c>
      <c r="DA67" s="71">
        <v>1109.9701254459699</v>
      </c>
      <c r="DB67" s="71">
        <v>1117.1110573157073</v>
      </c>
      <c r="DC67" s="71">
        <v>1124.3847655143645</v>
      </c>
      <c r="DD67" s="71">
        <v>1131.7912500419425</v>
      </c>
      <c r="DE67" s="71">
        <v>1139.3305108984409</v>
      </c>
      <c r="DF67" s="71">
        <v>1147.0025480838594</v>
      </c>
      <c r="DG67" s="71">
        <v>1154.8073615981984</v>
      </c>
      <c r="DH67" s="71">
        <v>1162.7449514414579</v>
      </c>
      <c r="DI67" s="71">
        <v>1170.8153176136377</v>
      </c>
      <c r="DJ67" s="71">
        <v>1179.018460114738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-101.16085916852791</v>
      </c>
      <c r="P68" s="71">
        <v>-101.16085916852791</v>
      </c>
      <c r="Q68" s="71">
        <v>-101.16085916852791</v>
      </c>
      <c r="R68" s="71">
        <v>-101.14269066606427</v>
      </c>
      <c r="S68" s="71">
        <v>-101.03915242559378</v>
      </c>
      <c r="T68" s="71">
        <v>-100.84395853248512</v>
      </c>
      <c r="U68" s="71">
        <v>-100.55710898673829</v>
      </c>
      <c r="V68" s="71">
        <v>-100.17860378835327</v>
      </c>
      <c r="W68" s="71">
        <v>-99.708442937330091</v>
      </c>
      <c r="X68" s="71">
        <v>-99.146626433668729</v>
      </c>
      <c r="Y68" s="71">
        <v>-98.4931542773692</v>
      </c>
      <c r="Z68" s="71">
        <v>-97.74802646843149</v>
      </c>
      <c r="AA68" s="71">
        <v>-96.911243006855614</v>
      </c>
      <c r="AB68" s="71">
        <v>-95.982803892641556</v>
      </c>
      <c r="AC68" s="71">
        <v>-94.962709125789331</v>
      </c>
      <c r="AD68" s="71">
        <v>-93.850958706298925</v>
      </c>
      <c r="AE68" s="71">
        <v>-92.647552634170339</v>
      </c>
      <c r="AF68" s="71">
        <v>-91.352490909403599</v>
      </c>
      <c r="AG68" s="71">
        <v>-89.965773531998664</v>
      </c>
      <c r="AH68" s="71">
        <v>-88.487400501955577</v>
      </c>
      <c r="AI68" s="71">
        <v>-86.917371819274294</v>
      </c>
      <c r="AJ68" s="71">
        <v>-85.255687483954858</v>
      </c>
      <c r="AK68" s="71">
        <v>-83.502347495997228</v>
      </c>
      <c r="AL68" s="71">
        <v>-81.65735185540143</v>
      </c>
      <c r="AM68" s="71">
        <v>-79.720700562167465</v>
      </c>
      <c r="AN68" s="71">
        <v>-77.692393616295305</v>
      </c>
      <c r="AO68" s="71">
        <v>-75.572431017784979</v>
      </c>
      <c r="AP68" s="71">
        <v>-73.360812766636499</v>
      </c>
      <c r="AQ68" s="71">
        <v>-71.057538862849839</v>
      </c>
      <c r="AR68" s="71">
        <v>-68.662609306424983</v>
      </c>
      <c r="AS68" s="71">
        <v>-66.176024097361974</v>
      </c>
      <c r="AT68" s="71">
        <v>-63.597783235660799</v>
      </c>
      <c r="AU68" s="71">
        <v>-60.927886721321421</v>
      </c>
      <c r="AV68" s="71">
        <v>-58.166334554343877</v>
      </c>
      <c r="AW68" s="71">
        <v>-55.313126734728165</v>
      </c>
      <c r="AX68" s="71">
        <v>-52.368263262474287</v>
      </c>
      <c r="AY68" s="71">
        <v>-49.33174413758222</v>
      </c>
      <c r="AZ68" s="71">
        <v>-46.203569360051986</v>
      </c>
      <c r="BA68" s="71">
        <v>-42.983738929883586</v>
      </c>
      <c r="BB68" s="71">
        <v>-39.672252847076997</v>
      </c>
      <c r="BC68" s="71">
        <v>-36.269111111632235</v>
      </c>
      <c r="BD68" s="71">
        <v>-32.774313723549298</v>
      </c>
      <c r="BE68" s="71">
        <v>-29.187860682828187</v>
      </c>
      <c r="BF68" s="71">
        <v>-25.509751989468903</v>
      </c>
      <c r="BG68" s="71">
        <v>-21.73998764347148</v>
      </c>
      <c r="BH68" s="71">
        <v>-17.878567644835847</v>
      </c>
      <c r="BI68" s="71">
        <v>-13.925491993562039</v>
      </c>
      <c r="BJ68" s="71">
        <v>-9.8746850324997162</v>
      </c>
      <c r="BK68" s="71">
        <v>-5.6659070493045789</v>
      </c>
      <c r="BL68" s="71">
        <v>-1.28372593267679</v>
      </c>
      <c r="BM68" s="71">
        <v>3.2718583173836491</v>
      </c>
      <c r="BN68" s="71">
        <v>8.0008457008767397</v>
      </c>
      <c r="BO68" s="71">
        <v>12.90323621780248</v>
      </c>
      <c r="BP68" s="71">
        <v>17.979029868160822</v>
      </c>
      <c r="BQ68" s="71">
        <v>23.228226651951868</v>
      </c>
      <c r="BR68" s="71">
        <v>28.650826569175557</v>
      </c>
      <c r="BS68" s="71">
        <v>34.2468296198319</v>
      </c>
      <c r="BT68" s="71">
        <v>40.016235803920893</v>
      </c>
      <c r="BU68" s="71">
        <v>45.959045121442536</v>
      </c>
      <c r="BV68" s="71">
        <v>52.075257572396829</v>
      </c>
      <c r="BW68" s="71">
        <v>58.364873156783716</v>
      </c>
      <c r="BX68" s="71">
        <v>64.82789187460331</v>
      </c>
      <c r="BY68" s="71">
        <v>71.464313725855547</v>
      </c>
      <c r="BZ68" s="71">
        <v>78.274138710540456</v>
      </c>
      <c r="CA68" s="71">
        <v>85.257366828657993</v>
      </c>
      <c r="CB68" s="71">
        <v>92.413998080208202</v>
      </c>
      <c r="CC68" s="71">
        <v>99.74403246519104</v>
      </c>
      <c r="CD68" s="71">
        <v>107.24746998360654</v>
      </c>
      <c r="CE68" s="71">
        <v>114.92431063545469</v>
      </c>
      <c r="CF68" s="71">
        <v>122.77455442073541</v>
      </c>
      <c r="CG68" s="71">
        <v>130.79820133944884</v>
      </c>
      <c r="CH68" s="71">
        <v>138.99525139159493</v>
      </c>
      <c r="CI68" s="71">
        <v>147.36570457717369</v>
      </c>
      <c r="CJ68" s="71">
        <v>155.90956089618516</v>
      </c>
      <c r="CK68" s="71">
        <v>164.62682034862917</v>
      </c>
      <c r="CL68" s="71">
        <v>173.51748293450589</v>
      </c>
      <c r="CM68" s="71">
        <v>182.58154865381516</v>
      </c>
      <c r="CN68" s="71">
        <v>191.81901750655715</v>
      </c>
      <c r="CO68" s="71">
        <v>201.22988949273179</v>
      </c>
      <c r="CP68" s="71">
        <v>210.81416461233908</v>
      </c>
      <c r="CQ68" s="71">
        <v>220.5718428653791</v>
      </c>
      <c r="CR68" s="71">
        <v>230.50292425185165</v>
      </c>
      <c r="CS68" s="71">
        <v>240.60740877175692</v>
      </c>
      <c r="CT68" s="71">
        <v>250.88529642509474</v>
      </c>
      <c r="CU68" s="71">
        <v>261.33658721186538</v>
      </c>
      <c r="CV68" s="71">
        <v>271.96128113206851</v>
      </c>
      <c r="CW68" s="71">
        <v>282.75937818570441</v>
      </c>
      <c r="CX68" s="71">
        <v>293.73087837277285</v>
      </c>
      <c r="CY68" s="71">
        <v>304.87578169327389</v>
      </c>
      <c r="CZ68" s="71">
        <v>316.19408814720776</v>
      </c>
      <c r="DA68" s="71">
        <v>327.68579773457418</v>
      </c>
      <c r="DB68" s="71">
        <v>339.35091045537337</v>
      </c>
      <c r="DC68" s="71">
        <v>351.18942630960498</v>
      </c>
      <c r="DD68" s="71">
        <v>363.20134529726954</v>
      </c>
      <c r="DE68" s="71">
        <v>375.38666741836653</v>
      </c>
      <c r="DF68" s="71">
        <v>387.74539267289634</v>
      </c>
      <c r="DG68" s="71">
        <v>400.27752106085859</v>
      </c>
      <c r="DH68" s="71">
        <v>412.98305258225349</v>
      </c>
      <c r="DI68" s="71">
        <v>425.86198723708128</v>
      </c>
      <c r="DJ68" s="71">
        <v>438.91432502534144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1206.4140833160332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118.45768357903395</v>
      </c>
      <c r="K85" s="79">
        <v>942.20828191466398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-1220.0158175945555</v>
      </c>
      <c r="K86" s="79">
        <v>898.93228181041604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932820.31572995719</v>
      </c>
      <c r="J89" s="80">
        <v>6.7377284734162865E-2</v>
      </c>
      <c r="K89" s="80">
        <v>1.0024136085995424E-7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932304.68165746971</v>
      </c>
      <c r="J90" s="80">
        <v>5.4708142904003242E-2</v>
      </c>
      <c r="K90" s="80">
        <v>2.2421079347917213E-8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898932.28181041603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-11.451040941126253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1206.4140833160332</v>
      </c>
      <c r="K114" s="79">
        <v>408.59368168033711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118.45768357903395</v>
      </c>
      <c r="K115" s="79">
        <v>25.271004104778328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-1220.0158175945555</v>
      </c>
      <c r="K116" s="79">
        <v>-101.16085916852791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2.2431500663173125</v>
      </c>
      <c r="J119" s="80">
        <v>1.7888963431653086E-4</v>
      </c>
      <c r="K119" s="80">
        <v>1.3091313951820541E-10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1.8342195839610156</v>
      </c>
      <c r="J120" s="80">
        <v>1.6884220231760469E-4</v>
      </c>
      <c r="K120" s="80">
        <v>6.9196726748388584E-11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-101.16085916852791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2.4780972450961722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1294.7690648871569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3.3324795353728107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2855.8233977295658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134791.76772904457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1.021186927405465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1879.1449895108371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-341.35132096685641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-440.85501048916279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-356.40948613853618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-1138.6158175945554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C.4.4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7.1091997366442561E-2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C.4.5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C.4.6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90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5.1057991186162319E-2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0.15757697520296704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190.13344785683199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354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355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356</v>
      </c>
      <c r="J171" s="125">
        <v>-35.601882068657829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357</v>
      </c>
      <c r="J172" s="125">
        <v>-11.451040941126253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358</v>
      </c>
      <c r="J173" s="125">
        <v>3.2837720183602928E-3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359</v>
      </c>
      <c r="J174" s="125">
        <v>-35.558145112799529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360</v>
      </c>
      <c r="J175" s="63">
        <v>-11.435750304084161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1"/>
  <sheetViews>
    <sheetView showGridLines="0" zoomScaleNormal="100" workbookViewId="0">
      <pane ySplit="1" topLeftCell="A159" activePane="bottomLeft" state="frozen"/>
      <selection pane="bottomLeft" activeCell="J170" sqref="J170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0" t="s">
        <v>17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</row>
    <row r="4" spans="1:15" s="46" customFormat="1" ht="20.100000000000001" hidden="1" customHeight="1" outlineLevel="1">
      <c r="A4" s="47" t="s">
        <v>16</v>
      </c>
      <c r="B4" s="162" t="s">
        <v>15</v>
      </c>
      <c r="C4" s="162"/>
      <c r="D4" s="162"/>
      <c r="E4" s="162"/>
      <c r="F4" s="162"/>
      <c r="G4" s="162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3"/>
      <c r="C5" s="164"/>
      <c r="D5" s="164"/>
      <c r="E5" s="164"/>
      <c r="F5" s="164"/>
      <c r="G5" s="16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3"/>
      <c r="C6" s="164"/>
      <c r="D6" s="164"/>
      <c r="E6" s="164"/>
      <c r="F6" s="164"/>
      <c r="G6" s="16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3"/>
      <c r="C7" s="164"/>
      <c r="D7" s="164"/>
      <c r="E7" s="164"/>
      <c r="F7" s="164"/>
      <c r="G7" s="16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3"/>
      <c r="C8" s="164"/>
      <c r="D8" s="164"/>
      <c r="E8" s="164"/>
      <c r="F8" s="164"/>
      <c r="G8" s="16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3"/>
      <c r="C9" s="164"/>
      <c r="D9" s="164"/>
      <c r="E9" s="164"/>
      <c r="F9" s="164"/>
      <c r="G9" s="16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93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6" t="s">
        <v>101</v>
      </c>
      <c r="C13" s="166"/>
      <c r="D13" s="168" t="str">
        <f>Gap30deg!D13</f>
        <v>SP2200052</v>
      </c>
      <c r="E13" s="168"/>
      <c r="F13" s="168"/>
      <c r="G13" s="168"/>
      <c r="H13" s="168"/>
      <c r="I13" s="168"/>
      <c r="J13" s="168"/>
      <c r="K13" s="168"/>
      <c r="L13" s="86"/>
    </row>
    <row r="14" spans="1:15" s="85" customFormat="1" ht="20.100000000000001" customHeight="1" outlineLevel="1">
      <c r="A14" s="87"/>
      <c r="B14" s="166" t="s">
        <v>100</v>
      </c>
      <c r="C14" s="166"/>
      <c r="D14" s="168" t="str">
        <f>Gap30deg!D14</f>
        <v>Stichting GROW</v>
      </c>
      <c r="E14" s="168"/>
      <c r="F14" s="168"/>
      <c r="G14" s="168"/>
      <c r="H14" s="168"/>
      <c r="I14" s="168"/>
      <c r="J14" s="168"/>
      <c r="K14" s="168"/>
      <c r="L14" s="86"/>
    </row>
    <row r="15" spans="1:15" s="85" customFormat="1" ht="20.100000000000001" customHeight="1" outlineLevel="1">
      <c r="A15" s="87"/>
      <c r="B15" s="166" t="s">
        <v>99</v>
      </c>
      <c r="C15" s="166"/>
      <c r="D15" s="168" t="str">
        <f>Gap30deg!D15</f>
        <v>Bolt and Beautiful</v>
      </c>
      <c r="E15" s="168"/>
      <c r="F15" s="168"/>
      <c r="G15" s="168"/>
      <c r="H15" s="168"/>
      <c r="I15" s="168"/>
      <c r="J15" s="168"/>
      <c r="K15" s="168"/>
      <c r="L15" s="86"/>
    </row>
    <row r="16" spans="1:15" s="85" customFormat="1" ht="20.100000000000001" customHeight="1" outlineLevel="1">
      <c r="A16" s="87"/>
      <c r="B16" s="166" t="s">
        <v>98</v>
      </c>
      <c r="C16" s="166"/>
      <c r="D16" s="168" t="str">
        <f>Title</f>
        <v>Flange Segment Analytical Model for 120° gap size</v>
      </c>
      <c r="E16" s="168"/>
      <c r="F16" s="168"/>
      <c r="G16" s="168"/>
      <c r="H16" s="168"/>
      <c r="I16" s="168"/>
      <c r="J16" s="168"/>
      <c r="K16" s="168"/>
      <c r="L16" s="86"/>
      <c r="M16" s="88"/>
    </row>
    <row r="17" spans="1:22" s="85" customFormat="1" ht="20.100000000000001" customHeight="1" outlineLevel="1">
      <c r="A17" s="87"/>
      <c r="B17" s="166" t="s">
        <v>97</v>
      </c>
      <c r="C17" s="166"/>
      <c r="D17" s="168" t="str">
        <f>Gap30deg!D17</f>
        <v>0.10</v>
      </c>
      <c r="E17" s="168"/>
      <c r="F17" s="168"/>
      <c r="G17" s="168"/>
      <c r="H17" s="168"/>
      <c r="I17" s="168"/>
      <c r="J17" s="168"/>
      <c r="K17" s="168"/>
      <c r="L17" s="86"/>
    </row>
    <row r="18" spans="1:22" s="85" customFormat="1" ht="20.100000000000001" customHeight="1" outlineLevel="1">
      <c r="A18" s="87"/>
      <c r="B18" s="166" t="s">
        <v>96</v>
      </c>
      <c r="C18" s="166"/>
      <c r="D18" s="167">
        <f>Gap30deg!D18</f>
        <v>45432</v>
      </c>
      <c r="E18" s="167"/>
      <c r="F18" s="167"/>
      <c r="G18" s="167"/>
      <c r="H18" s="167"/>
      <c r="I18" s="167"/>
      <c r="J18" s="167"/>
      <c r="K18" s="16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7"/>
      <c r="C28" s="158"/>
      <c r="D28" s="158"/>
      <c r="E28" s="158"/>
      <c r="F28" s="158"/>
      <c r="G28" s="158"/>
      <c r="H28" s="158"/>
      <c r="I28" s="158"/>
      <c r="J28" s="158"/>
      <c r="K28" s="159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-1266.1517558816047</v>
      </c>
      <c r="P66" s="71">
        <v>-1240.510114365394</v>
      </c>
      <c r="Q66" s="71">
        <v>-1214.8684728491833</v>
      </c>
      <c r="R66" s="71">
        <v>-1189.2268313329726</v>
      </c>
      <c r="S66" s="71">
        <v>-1163.5851898167618</v>
      </c>
      <c r="T66" s="71">
        <v>-1137.9435483005511</v>
      </c>
      <c r="U66" s="71">
        <v>-1112.3019067843402</v>
      </c>
      <c r="V66" s="71">
        <v>-1086.6602652681297</v>
      </c>
      <c r="W66" s="71">
        <v>-1061.018623751919</v>
      </c>
      <c r="X66" s="71">
        <v>-1035.3769822357083</v>
      </c>
      <c r="Y66" s="71">
        <v>-1009.7353407194976</v>
      </c>
      <c r="Z66" s="71">
        <v>-984.09369920328675</v>
      </c>
      <c r="AA66" s="71">
        <v>-958.45205768707604</v>
      </c>
      <c r="AB66" s="71">
        <v>-932.81041617086532</v>
      </c>
      <c r="AC66" s="71">
        <v>-907.1687746546545</v>
      </c>
      <c r="AD66" s="71">
        <v>-881.52713313844379</v>
      </c>
      <c r="AE66" s="71">
        <v>-855.88549162223308</v>
      </c>
      <c r="AF66" s="71">
        <v>-830.24385010602236</v>
      </c>
      <c r="AG66" s="71">
        <v>-804.60220858981165</v>
      </c>
      <c r="AH66" s="71">
        <v>-778.96056707360094</v>
      </c>
      <c r="AI66" s="71">
        <v>-753.31892555739023</v>
      </c>
      <c r="AJ66" s="71">
        <v>-727.6772840411794</v>
      </c>
      <c r="AK66" s="71">
        <v>-702.03564252496869</v>
      </c>
      <c r="AL66" s="71">
        <v>-676.3940010087581</v>
      </c>
      <c r="AM66" s="71">
        <v>-650.75235949254738</v>
      </c>
      <c r="AN66" s="71">
        <v>-625.11071797633656</v>
      </c>
      <c r="AO66" s="71">
        <v>-599.46907646012585</v>
      </c>
      <c r="AP66" s="71">
        <v>-573.82743494391514</v>
      </c>
      <c r="AQ66" s="71">
        <v>-548.18579342770431</v>
      </c>
      <c r="AR66" s="71">
        <v>-522.54415191149371</v>
      </c>
      <c r="AS66" s="71">
        <v>-496.902510395283</v>
      </c>
      <c r="AT66" s="71">
        <v>-471.26086887907223</v>
      </c>
      <c r="AU66" s="71">
        <v>-445.61922736286152</v>
      </c>
      <c r="AV66" s="71">
        <v>-419.97758584665075</v>
      </c>
      <c r="AW66" s="71">
        <v>-394.33594433044004</v>
      </c>
      <c r="AX66" s="71">
        <v>-368.69430281422927</v>
      </c>
      <c r="AY66" s="71">
        <v>-343.05266129801862</v>
      </c>
      <c r="AZ66" s="71">
        <v>-317.41101978180791</v>
      </c>
      <c r="BA66" s="71">
        <v>-291.76937826559714</v>
      </c>
      <c r="BB66" s="71">
        <v>-266.12773674938643</v>
      </c>
      <c r="BC66" s="71">
        <v>-240.48609523317566</v>
      </c>
      <c r="BD66" s="71">
        <v>-214.84445371696492</v>
      </c>
      <c r="BE66" s="71">
        <v>-189.20281220075418</v>
      </c>
      <c r="BF66" s="71">
        <v>-163.56117068454344</v>
      </c>
      <c r="BG66" s="71">
        <v>-137.9195291683327</v>
      </c>
      <c r="BH66" s="71">
        <v>-112.27788765212219</v>
      </c>
      <c r="BI66" s="71">
        <v>-86.636246135911435</v>
      </c>
      <c r="BJ66" s="71">
        <v>-60.994604619700695</v>
      </c>
      <c r="BK66" s="71">
        <v>-35.352963103489948</v>
      </c>
      <c r="BL66" s="71">
        <v>-9.7113215872792065</v>
      </c>
      <c r="BM66" s="71">
        <v>15.930319928931539</v>
      </c>
      <c r="BN66" s="71">
        <v>41.571961445142286</v>
      </c>
      <c r="BO66" s="71">
        <v>67.213602961353033</v>
      </c>
      <c r="BP66" s="71">
        <v>92.855244477563772</v>
      </c>
      <c r="BQ66" s="71">
        <v>118.49688599377451</v>
      </c>
      <c r="BR66" s="71">
        <v>144.13852750998527</v>
      </c>
      <c r="BS66" s="71">
        <v>169.78016902619601</v>
      </c>
      <c r="BT66" s="71">
        <v>195.42181054240675</v>
      </c>
      <c r="BU66" s="71">
        <v>221.06345205861726</v>
      </c>
      <c r="BV66" s="71">
        <v>246.705093574828</v>
      </c>
      <c r="BW66" s="71">
        <v>272.34673509103874</v>
      </c>
      <c r="BX66" s="71">
        <v>297.98837660724951</v>
      </c>
      <c r="BY66" s="71">
        <v>323.63001812346022</v>
      </c>
      <c r="BZ66" s="71">
        <v>349.27165963967099</v>
      </c>
      <c r="CA66" s="71">
        <v>374.9133011558817</v>
      </c>
      <c r="CB66" s="71">
        <v>400.55494267209247</v>
      </c>
      <c r="CC66" s="71">
        <v>426.19658418830323</v>
      </c>
      <c r="CD66" s="71">
        <v>451.83822570451395</v>
      </c>
      <c r="CE66" s="71">
        <v>477.47986722072471</v>
      </c>
      <c r="CF66" s="71">
        <v>503.12150873693543</v>
      </c>
      <c r="CG66" s="71">
        <v>528.76315025314614</v>
      </c>
      <c r="CH66" s="71">
        <v>554.40479176935673</v>
      </c>
      <c r="CI66" s="71">
        <v>580.04643328556745</v>
      </c>
      <c r="CJ66" s="71">
        <v>605.68807480177816</v>
      </c>
      <c r="CK66" s="71">
        <v>631.32971631798898</v>
      </c>
      <c r="CL66" s="71">
        <v>656.97135783419969</v>
      </c>
      <c r="CM66" s="71">
        <v>682.6129993504104</v>
      </c>
      <c r="CN66" s="71">
        <v>708.25464086662112</v>
      </c>
      <c r="CO66" s="71">
        <v>733.89628238283194</v>
      </c>
      <c r="CP66" s="71">
        <v>759.53792389904265</v>
      </c>
      <c r="CQ66" s="71">
        <v>785.17956541525336</v>
      </c>
      <c r="CR66" s="71">
        <v>810.82120693146419</v>
      </c>
      <c r="CS66" s="71">
        <v>836.4628484476749</v>
      </c>
      <c r="CT66" s="71">
        <v>862.10448996388538</v>
      </c>
      <c r="CU66" s="71">
        <v>887.74613148009632</v>
      </c>
      <c r="CV66" s="71">
        <v>913.38777299630692</v>
      </c>
      <c r="CW66" s="71">
        <v>939.02941451251786</v>
      </c>
      <c r="CX66" s="71">
        <v>964.67105602872834</v>
      </c>
      <c r="CY66" s="71">
        <v>990.3126975449394</v>
      </c>
      <c r="CZ66" s="71">
        <v>1015.9543390611499</v>
      </c>
      <c r="DA66" s="71">
        <v>1041.5959805773605</v>
      </c>
      <c r="DB66" s="71">
        <v>1067.2376220935714</v>
      </c>
      <c r="DC66" s="71">
        <v>1092.8792636097819</v>
      </c>
      <c r="DD66" s="71">
        <v>1118.5209051259928</v>
      </c>
      <c r="DE66" s="71">
        <v>1144.1625466422033</v>
      </c>
      <c r="DF66" s="71">
        <v>1169.8041881584143</v>
      </c>
      <c r="DG66" s="71">
        <v>1195.4458296746247</v>
      </c>
      <c r="DH66" s="71">
        <v>1221.0874711908359</v>
      </c>
      <c r="DI66" s="71">
        <v>1246.7291127070464</v>
      </c>
      <c r="DJ66" s="71">
        <v>1272.3707542232571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899.69083461761431</v>
      </c>
      <c r="P67" s="71">
        <v>899.69083461761431</v>
      </c>
      <c r="Q67" s="71">
        <v>899.69083461761431</v>
      </c>
      <c r="R67" s="71">
        <v>899.69702800242908</v>
      </c>
      <c r="S67" s="71">
        <v>899.73084557526226</v>
      </c>
      <c r="T67" s="71">
        <v>899.79410476130556</v>
      </c>
      <c r="U67" s="71">
        <v>899.88680556055942</v>
      </c>
      <c r="V67" s="71">
        <v>900.00894797302351</v>
      </c>
      <c r="W67" s="71">
        <v>900.16053199869793</v>
      </c>
      <c r="X67" s="71">
        <v>900.3415576375827</v>
      </c>
      <c r="Y67" s="71">
        <v>900.5520248896778</v>
      </c>
      <c r="Z67" s="71">
        <v>900.79193375498312</v>
      </c>
      <c r="AA67" s="71">
        <v>901.0612842334989</v>
      </c>
      <c r="AB67" s="71">
        <v>901.3600763252249</v>
      </c>
      <c r="AC67" s="71">
        <v>901.68831003016135</v>
      </c>
      <c r="AD67" s="71">
        <v>902.04598534830814</v>
      </c>
      <c r="AE67" s="71">
        <v>902.43310227966515</v>
      </c>
      <c r="AF67" s="71">
        <v>902.84966082423261</v>
      </c>
      <c r="AG67" s="71">
        <v>903.29566098201042</v>
      </c>
      <c r="AH67" s="71">
        <v>903.77110275299844</v>
      </c>
      <c r="AI67" s="71">
        <v>904.27598613719692</v>
      </c>
      <c r="AJ67" s="71">
        <v>904.81031113460563</v>
      </c>
      <c r="AK67" s="71">
        <v>905.37407774522467</v>
      </c>
      <c r="AL67" s="71">
        <v>905.96728596905405</v>
      </c>
      <c r="AM67" s="71">
        <v>906.58993580609388</v>
      </c>
      <c r="AN67" s="71">
        <v>907.24202725634382</v>
      </c>
      <c r="AO67" s="71">
        <v>907.92356031980432</v>
      </c>
      <c r="AP67" s="71">
        <v>908.63453499647505</v>
      </c>
      <c r="AQ67" s="71">
        <v>909.37495128635612</v>
      </c>
      <c r="AR67" s="71">
        <v>910.14480918944753</v>
      </c>
      <c r="AS67" s="71">
        <v>910.94410870574927</v>
      </c>
      <c r="AT67" s="71">
        <v>911.77284983526135</v>
      </c>
      <c r="AU67" s="71">
        <v>912.63103257798366</v>
      </c>
      <c r="AV67" s="71">
        <v>913.51865693391653</v>
      </c>
      <c r="AW67" s="71">
        <v>914.43572290305951</v>
      </c>
      <c r="AX67" s="71">
        <v>915.38223048541283</v>
      </c>
      <c r="AY67" s="71">
        <v>916.35817968097672</v>
      </c>
      <c r="AZ67" s="71">
        <v>917.36357048975071</v>
      </c>
      <c r="BA67" s="71">
        <v>918.39840291173516</v>
      </c>
      <c r="BB67" s="71">
        <v>919.46267694692972</v>
      </c>
      <c r="BC67" s="71">
        <v>920.55639259533496</v>
      </c>
      <c r="BD67" s="71">
        <v>921.6795498569503</v>
      </c>
      <c r="BE67" s="71">
        <v>922.8321487317761</v>
      </c>
      <c r="BF67" s="71">
        <v>924.01418921981201</v>
      </c>
      <c r="BG67" s="71">
        <v>925.22567132105837</v>
      </c>
      <c r="BH67" s="71">
        <v>926.46659503551518</v>
      </c>
      <c r="BI67" s="71">
        <v>927.73696036318222</v>
      </c>
      <c r="BJ67" s="71">
        <v>929.06899680196227</v>
      </c>
      <c r="BK67" s="71">
        <v>930.53013789152487</v>
      </c>
      <c r="BL67" s="71">
        <v>932.12250591644272</v>
      </c>
      <c r="BM67" s="71">
        <v>933.84610087671592</v>
      </c>
      <c r="BN67" s="71">
        <v>935.70092277234471</v>
      </c>
      <c r="BO67" s="71">
        <v>937.68697160332886</v>
      </c>
      <c r="BP67" s="71">
        <v>939.80424736966825</v>
      </c>
      <c r="BQ67" s="71">
        <v>942.05275007136311</v>
      </c>
      <c r="BR67" s="71">
        <v>944.43247970841333</v>
      </c>
      <c r="BS67" s="71">
        <v>946.94343628081901</v>
      </c>
      <c r="BT67" s="71">
        <v>949.58561978857995</v>
      </c>
      <c r="BU67" s="71">
        <v>952.35903023169647</v>
      </c>
      <c r="BV67" s="71">
        <v>955.26366761016823</v>
      </c>
      <c r="BW67" s="71">
        <v>958.29953192399546</v>
      </c>
      <c r="BX67" s="71">
        <v>961.46662317317805</v>
      </c>
      <c r="BY67" s="71">
        <v>964.76494135771611</v>
      </c>
      <c r="BZ67" s="71">
        <v>968.19448647760953</v>
      </c>
      <c r="CA67" s="71">
        <v>971.75525853285819</v>
      </c>
      <c r="CB67" s="71">
        <v>975.44725752346244</v>
      </c>
      <c r="CC67" s="71">
        <v>979.27048344942193</v>
      </c>
      <c r="CD67" s="71">
        <v>983.22493631073689</v>
      </c>
      <c r="CE67" s="71">
        <v>987.31061610740721</v>
      </c>
      <c r="CF67" s="71">
        <v>991.52752283943289</v>
      </c>
      <c r="CG67" s="71">
        <v>995.87565650681404</v>
      </c>
      <c r="CH67" s="71">
        <v>1000.3550171095505</v>
      </c>
      <c r="CI67" s="71">
        <v>1004.9656046476425</v>
      </c>
      <c r="CJ67" s="71">
        <v>1009.7074191210897</v>
      </c>
      <c r="CK67" s="71">
        <v>1014.5804605298923</v>
      </c>
      <c r="CL67" s="71">
        <v>1019.5847288740505</v>
      </c>
      <c r="CM67" s="71">
        <v>1024.720224153564</v>
      </c>
      <c r="CN67" s="71">
        <v>1029.9869463684329</v>
      </c>
      <c r="CO67" s="71">
        <v>1035.384895518657</v>
      </c>
      <c r="CP67" s="71">
        <v>1040.9140716042368</v>
      </c>
      <c r="CQ67" s="71">
        <v>1046.5744746251717</v>
      </c>
      <c r="CR67" s="71">
        <v>1052.3661045814622</v>
      </c>
      <c r="CS67" s="71">
        <v>1058.2889614731077</v>
      </c>
      <c r="CT67" s="71">
        <v>1064.343045300109</v>
      </c>
      <c r="CU67" s="71">
        <v>1070.5283560624657</v>
      </c>
      <c r="CV67" s="71">
        <v>1076.8448937601775</v>
      </c>
      <c r="CW67" s="71">
        <v>1083.2926583932451</v>
      </c>
      <c r="CX67" s="71">
        <v>1089.8716499616678</v>
      </c>
      <c r="CY67" s="71">
        <v>1096.581868465446</v>
      </c>
      <c r="CZ67" s="71">
        <v>1103.4233139045796</v>
      </c>
      <c r="DA67" s="71">
        <v>1110.3959862790682</v>
      </c>
      <c r="DB67" s="71">
        <v>1117.4998855889128</v>
      </c>
      <c r="DC67" s="71">
        <v>1124.7350118341124</v>
      </c>
      <c r="DD67" s="71">
        <v>1132.1013650146676</v>
      </c>
      <c r="DE67" s="71">
        <v>1139.5989451305779</v>
      </c>
      <c r="DF67" s="71">
        <v>1147.2277521818439</v>
      </c>
      <c r="DG67" s="71">
        <v>1154.9877861684652</v>
      </c>
      <c r="DH67" s="71">
        <v>1162.8790470904419</v>
      </c>
      <c r="DI67" s="71">
        <v>1170.9015349477738</v>
      </c>
      <c r="DJ67" s="71">
        <v>1179.0552497404612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-99.414965428986932</v>
      </c>
      <c r="P68" s="71">
        <v>-99.414965428986932</v>
      </c>
      <c r="Q68" s="71">
        <v>-99.414965428986932</v>
      </c>
      <c r="R68" s="71">
        <v>-99.395708164649591</v>
      </c>
      <c r="S68" s="71">
        <v>-99.290558241181159</v>
      </c>
      <c r="T68" s="71">
        <v>-99.093864687685411</v>
      </c>
      <c r="U68" s="71">
        <v>-98.805627504162359</v>
      </c>
      <c r="V68" s="71">
        <v>-98.425846690612005</v>
      </c>
      <c r="W68" s="71">
        <v>-97.954522247034348</v>
      </c>
      <c r="X68" s="71">
        <v>-97.391654173429387</v>
      </c>
      <c r="Y68" s="71">
        <v>-96.737242469797124</v>
      </c>
      <c r="Z68" s="71">
        <v>-95.991287136137558</v>
      </c>
      <c r="AA68" s="71">
        <v>-95.153788172450675</v>
      </c>
      <c r="AB68" s="71">
        <v>-94.224745578736503</v>
      </c>
      <c r="AC68" s="71">
        <v>-93.204159354995014</v>
      </c>
      <c r="AD68" s="71">
        <v>-92.092029501226236</v>
      </c>
      <c r="AE68" s="71">
        <v>-90.888356017430141</v>
      </c>
      <c r="AF68" s="71">
        <v>-89.593138903606729</v>
      </c>
      <c r="AG68" s="71">
        <v>-88.206378159756042</v>
      </c>
      <c r="AH68" s="71">
        <v>-86.728073785878038</v>
      </c>
      <c r="AI68" s="71">
        <v>-85.158225781972746</v>
      </c>
      <c r="AJ68" s="71">
        <v>-83.496834148040122</v>
      </c>
      <c r="AK68" s="71">
        <v>-81.74389888408021</v>
      </c>
      <c r="AL68" s="71">
        <v>-79.899419990092994</v>
      </c>
      <c r="AM68" s="71">
        <v>-77.96339746607849</v>
      </c>
      <c r="AN68" s="71">
        <v>-75.935831312036655</v>
      </c>
      <c r="AO68" s="71">
        <v>-73.816721527967516</v>
      </c>
      <c r="AP68" s="71">
        <v>-71.606068113871075</v>
      </c>
      <c r="AQ68" s="71">
        <v>-69.303871069747331</v>
      </c>
      <c r="AR68" s="71">
        <v>-66.910130395596298</v>
      </c>
      <c r="AS68" s="71">
        <v>-64.424846091417947</v>
      </c>
      <c r="AT68" s="71">
        <v>-61.848018157212302</v>
      </c>
      <c r="AU68" s="71">
        <v>-59.179646592979338</v>
      </c>
      <c r="AV68" s="71">
        <v>-56.41973139871908</v>
      </c>
      <c r="AW68" s="71">
        <v>-53.568272574431518</v>
      </c>
      <c r="AX68" s="71">
        <v>-50.625270120116646</v>
      </c>
      <c r="AY68" s="71">
        <v>-47.590724035774485</v>
      </c>
      <c r="AZ68" s="71">
        <v>-44.464634321405008</v>
      </c>
      <c r="BA68" s="71">
        <v>-41.247000977008227</v>
      </c>
      <c r="BB68" s="71">
        <v>-37.937824002584136</v>
      </c>
      <c r="BC68" s="71">
        <v>-34.53710339813275</v>
      </c>
      <c r="BD68" s="71">
        <v>-31.044839163654053</v>
      </c>
      <c r="BE68" s="71">
        <v>-27.461031299148054</v>
      </c>
      <c r="BF68" s="71">
        <v>-23.785679804614752</v>
      </c>
      <c r="BG68" s="71">
        <v>-20.018784680054146</v>
      </c>
      <c r="BH68" s="71">
        <v>-16.160345925466267</v>
      </c>
      <c r="BI68" s="71">
        <v>-12.210363540851052</v>
      </c>
      <c r="BJ68" s="71">
        <v>-8.1429322587315323</v>
      </c>
      <c r="BK68" s="71">
        <v>-3.9038506799007009</v>
      </c>
      <c r="BL68" s="71">
        <v>0.50858703510840564</v>
      </c>
      <c r="BM68" s="71">
        <v>5.0943808862957862</v>
      </c>
      <c r="BN68" s="71">
        <v>9.8535308736614411</v>
      </c>
      <c r="BO68" s="71">
        <v>14.786036997205374</v>
      </c>
      <c r="BP68" s="71">
        <v>19.891899256927577</v>
      </c>
      <c r="BQ68" s="71">
        <v>25.171117652828055</v>
      </c>
      <c r="BR68" s="71">
        <v>30.623692184906812</v>
      </c>
      <c r="BS68" s="71">
        <v>36.249622853163835</v>
      </c>
      <c r="BT68" s="71">
        <v>42.04890965759914</v>
      </c>
      <c r="BU68" s="71">
        <v>48.021552598212665</v>
      </c>
      <c r="BV68" s="71">
        <v>54.167551675004511</v>
      </c>
      <c r="BW68" s="71">
        <v>60.486906887974641</v>
      </c>
      <c r="BX68" s="71">
        <v>66.979618237123049</v>
      </c>
      <c r="BY68" s="71">
        <v>73.645685722449727</v>
      </c>
      <c r="BZ68" s="71">
        <v>80.485109343954676</v>
      </c>
      <c r="CA68" s="71">
        <v>87.497889101637895</v>
      </c>
      <c r="CB68" s="71">
        <v>94.684024995499385</v>
      </c>
      <c r="CC68" s="71">
        <v>102.04351702553917</v>
      </c>
      <c r="CD68" s="71">
        <v>109.57636519175722</v>
      </c>
      <c r="CE68" s="71">
        <v>117.28256949415353</v>
      </c>
      <c r="CF68" s="71">
        <v>125.16212993272813</v>
      </c>
      <c r="CG68" s="71">
        <v>133.21504650748102</v>
      </c>
      <c r="CH68" s="71">
        <v>141.44131921841208</v>
      </c>
      <c r="CI68" s="71">
        <v>149.84094806552147</v>
      </c>
      <c r="CJ68" s="71">
        <v>158.41393304880918</v>
      </c>
      <c r="CK68" s="71">
        <v>167.16027416827515</v>
      </c>
      <c r="CL68" s="71">
        <v>176.0799714239194</v>
      </c>
      <c r="CM68" s="71">
        <v>185.17302481574191</v>
      </c>
      <c r="CN68" s="71">
        <v>194.4394343437427</v>
      </c>
      <c r="CO68" s="71">
        <v>203.87920000792178</v>
      </c>
      <c r="CP68" s="71">
        <v>213.49232180827912</v>
      </c>
      <c r="CQ68" s="71">
        <v>223.27879974481473</v>
      </c>
      <c r="CR68" s="71">
        <v>233.23863381752864</v>
      </c>
      <c r="CS68" s="71">
        <v>243.37182402642082</v>
      </c>
      <c r="CT68" s="71">
        <v>253.67837037149113</v>
      </c>
      <c r="CU68" s="71">
        <v>264.15827285273997</v>
      </c>
      <c r="CV68" s="71">
        <v>274.81153147016687</v>
      </c>
      <c r="CW68" s="71">
        <v>285.63814622377225</v>
      </c>
      <c r="CX68" s="71">
        <v>296.63811711355572</v>
      </c>
      <c r="CY68" s="71">
        <v>307.81144413951762</v>
      </c>
      <c r="CZ68" s="71">
        <v>319.15812730165754</v>
      </c>
      <c r="DA68" s="71">
        <v>330.67816659997584</v>
      </c>
      <c r="DB68" s="71">
        <v>342.37156203447256</v>
      </c>
      <c r="DC68" s="71">
        <v>354.23831360514737</v>
      </c>
      <c r="DD68" s="71">
        <v>366.27842131200072</v>
      </c>
      <c r="DE68" s="71">
        <v>378.49188515503198</v>
      </c>
      <c r="DF68" s="71">
        <v>390.8787051342419</v>
      </c>
      <c r="DG68" s="71">
        <v>403.43888124962979</v>
      </c>
      <c r="DH68" s="71">
        <v>416.17241350119616</v>
      </c>
      <c r="DI68" s="71">
        <v>429.07930188894068</v>
      </c>
      <c r="DJ68" s="71">
        <v>442.15954641286345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1211.7816706888161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117.57576867972085</v>
      </c>
      <c r="K85" s="79">
        <v>941.96970541204053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-1205.8588151253377</v>
      </c>
      <c r="K86" s="79">
        <v>899.69083461761431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932759.84878299094</v>
      </c>
      <c r="J89" s="80">
        <v>6.6597974611079386E-2</v>
      </c>
      <c r="K89" s="80">
        <v>9.9793290383729661E-8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932246.97284864855</v>
      </c>
      <c r="J90" s="80">
        <v>5.3996600302914241E-2</v>
      </c>
      <c r="K90" s="80">
        <v>2.2389271291806162E-8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899690.83461761428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-11.392487053467798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1211.7816706888161</v>
      </c>
      <c r="K114" s="79">
        <v>411.53115108050969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117.57576867972085</v>
      </c>
      <c r="K115" s="79">
        <v>24.978471950255695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-1205.8588151253377</v>
      </c>
      <c r="K116" s="79">
        <v>-99.414965428986932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2.2249811080321069</v>
      </c>
      <c r="J119" s="80">
        <v>1.780218077511403E-4</v>
      </c>
      <c r="K119" s="146">
        <v>1.3183100855467202E-10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1.8127442093438333</v>
      </c>
      <c r="J120" s="80">
        <v>1.6789313702169866E-4</v>
      </c>
      <c r="K120" s="80">
        <v>6.96155863836546E-11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-99.414965428986932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2.8707963267948964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838.24223860426605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1.056403570963949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1846.4570127855063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135926.68533116262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1.0135842127562142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1894.9669848853239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-341.35132096685641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-425.03301511467629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-358.07447904380501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-1124.4588151253379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D.4.4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7.0208073599790019E-2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D.4.5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D.4.6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119.99999999999999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5.0351626936608197E-2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0.1565597195584397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186.68645045038258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354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355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356</v>
      </c>
      <c r="J171" s="125">
        <v>-35.722340705909588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357</v>
      </c>
      <c r="J172" s="125">
        <v>-11.392487053467798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358</v>
      </c>
      <c r="J173" s="125">
        <v>3.2383485517423986E-3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359</v>
      </c>
      <c r="J174" s="125">
        <v>-35.678455766467437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360</v>
      </c>
      <c r="J175" s="63">
        <v>-11.377297787358252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3"/>
  <sheetViews>
    <sheetView showGridLines="0" tabSelected="1" zoomScale="77" zoomScaleNormal="100" workbookViewId="0">
      <selection activeCell="H125" sqref="H125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215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60</v>
      </c>
    </row>
    <row r="22" spans="2:18">
      <c r="G22" s="136">
        <f>MATCH(gap_angle,N48:Q48,0)</f>
        <v>2</v>
      </c>
    </row>
    <row r="23" spans="2:18">
      <c r="G23" s="136" t="str">
        <f>"Gap"&amp;gap_angle&amp;"deg"</f>
        <v>Gap60deg</v>
      </c>
    </row>
    <row r="26" spans="2:18">
      <c r="B26" s="116" t="s">
        <v>214</v>
      </c>
      <c r="C26" s="116" t="s">
        <v>213</v>
      </c>
      <c r="D26" s="116" t="s">
        <v>212</v>
      </c>
      <c r="E26" s="116" t="s">
        <v>217</v>
      </c>
      <c r="F26" s="116" t="s">
        <v>348</v>
      </c>
      <c r="G26" s="116" t="s">
        <v>220</v>
      </c>
      <c r="H26" s="116" t="s">
        <v>211</v>
      </c>
      <c r="I26" s="115"/>
      <c r="J26" s="115"/>
      <c r="K26" s="116" t="s">
        <v>214</v>
      </c>
      <c r="L26" s="116" t="s">
        <v>213</v>
      </c>
      <c r="M26" s="116" t="s">
        <v>212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198</v>
      </c>
      <c r="E27" s="104"/>
      <c r="F27" s="107" t="s">
        <v>86</v>
      </c>
      <c r="G27" s="104"/>
      <c r="H27" t="s">
        <v>210</v>
      </c>
      <c r="I27" s="138"/>
      <c r="K27" s="106">
        <v>1</v>
      </c>
      <c r="L27" s="103" t="s">
        <v>198</v>
      </c>
      <c r="N27" s="104"/>
      <c r="O27" s="104"/>
      <c r="P27" s="104"/>
      <c r="Q27" s="104"/>
      <c r="R27" t="s">
        <v>210</v>
      </c>
    </row>
    <row r="28" spans="2:18" ht="15.6">
      <c r="B28" s="106">
        <f>B27+1</f>
        <v>2</v>
      </c>
      <c r="C28" s="105" t="s">
        <v>209</v>
      </c>
      <c r="D28" s="103" t="s">
        <v>128</v>
      </c>
      <c r="E28" s="107" cm="1">
        <f t="array" ref="E28">INDEX(N28:Q28,case_number)</f>
        <v>52.136423420119037</v>
      </c>
      <c r="F28" s="107" t="s">
        <v>86</v>
      </c>
      <c r="G28" s="107"/>
      <c r="H28" t="s">
        <v>208</v>
      </c>
      <c r="I28" s="139"/>
      <c r="K28" s="106">
        <v>2</v>
      </c>
      <c r="L28" s="105" t="s">
        <v>209</v>
      </c>
      <c r="M28" s="103" t="s">
        <v>128</v>
      </c>
      <c r="N28" s="107">
        <v>52.136423420119037</v>
      </c>
      <c r="O28" s="107">
        <v>52.136423420119037</v>
      </c>
      <c r="P28" s="107">
        <v>52.136423420119037</v>
      </c>
      <c r="Q28" s="107">
        <v>52.136423420119037</v>
      </c>
      <c r="R28" t="s">
        <v>208</v>
      </c>
    </row>
    <row r="29" spans="2:18" ht="15.6">
      <c r="B29" s="106"/>
      <c r="C29" s="105" t="s">
        <v>207</v>
      </c>
      <c r="D29" s="103" t="s">
        <v>206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205</v>
      </c>
      <c r="I29" s="139"/>
      <c r="K29" s="106"/>
      <c r="L29" s="105" t="s">
        <v>207</v>
      </c>
      <c r="M29" s="103" t="s">
        <v>206</v>
      </c>
      <c r="N29" s="107">
        <v>900</v>
      </c>
      <c r="O29" s="107">
        <v>900</v>
      </c>
      <c r="P29" s="107">
        <v>900</v>
      </c>
      <c r="Q29" s="107">
        <v>900</v>
      </c>
      <c r="R29" t="s">
        <v>205</v>
      </c>
    </row>
    <row r="30" spans="2:18" ht="15.6">
      <c r="B30" s="106"/>
      <c r="C30" s="105" t="s">
        <v>204</v>
      </c>
      <c r="D30" s="103" t="s">
        <v>144</v>
      </c>
      <c r="E30" s="107" cm="1">
        <f t="array" ref="E30">INDEX(N30:Q30,case_number)</f>
        <v>1473.1579837133568</v>
      </c>
      <c r="F30" s="107" cm="1">
        <f t="array" aca="1" ref="F30" ca="1">INDIRECT(sheet_name&amp;"!bolt.As")</f>
        <v>1473.1493426522268</v>
      </c>
      <c r="G30" s="118">
        <f ca="1">(F30-E30)/E30</f>
        <v>-5.8656717239594296E-6</v>
      </c>
      <c r="I30" s="139"/>
      <c r="K30" s="106"/>
      <c r="L30" s="105" t="s">
        <v>204</v>
      </c>
      <c r="M30" s="103" t="s">
        <v>144</v>
      </c>
      <c r="N30" s="107">
        <v>1473.1579837133568</v>
      </c>
      <c r="O30" s="107">
        <v>1473.1579837133568</v>
      </c>
      <c r="P30" s="107">
        <v>1473.1579837133568</v>
      </c>
      <c r="Q30" s="107">
        <v>1473.1579837133568</v>
      </c>
      <c r="R30" t="s">
        <v>353</v>
      </c>
    </row>
    <row r="31" spans="2:18" ht="15.6">
      <c r="B31" s="106">
        <f>B28+1</f>
        <v>3</v>
      </c>
      <c r="C31" s="103" t="s">
        <v>198</v>
      </c>
      <c r="D31" s="103" t="s">
        <v>128</v>
      </c>
      <c r="E31" s="107" cm="1">
        <f t="array" ref="E31">INDEX(N31:Q31,case_number)</f>
        <v>928</v>
      </c>
      <c r="F31" s="107" cm="1">
        <f t="array" aca="1" ref="F31" ca="1">INDIRECT(sheet_name&amp;"!bolt.pretension")</f>
        <v>928</v>
      </c>
      <c r="G31" s="118">
        <f ca="1">(F31-E31)/E31</f>
        <v>0</v>
      </c>
      <c r="H31" t="s">
        <v>203</v>
      </c>
      <c r="I31" s="138"/>
      <c r="K31" s="106">
        <v>3</v>
      </c>
      <c r="L31" s="103" t="s">
        <v>198</v>
      </c>
      <c r="M31" s="103" t="s">
        <v>128</v>
      </c>
      <c r="N31" s="107">
        <v>928</v>
      </c>
      <c r="O31" s="107">
        <v>928</v>
      </c>
      <c r="P31" s="107">
        <v>928</v>
      </c>
      <c r="Q31" s="107">
        <v>928</v>
      </c>
      <c r="R31" t="s">
        <v>203</v>
      </c>
    </row>
    <row r="32" spans="2:18" ht="15.6">
      <c r="B32" s="106"/>
      <c r="C32" s="103" t="s">
        <v>202</v>
      </c>
      <c r="D32" s="103" t="s">
        <v>128</v>
      </c>
      <c r="E32" s="107" cm="1">
        <f t="array" ref="E32">INDEX(N32:Q32,case_number)</f>
        <v>1066.2717486117276</v>
      </c>
      <c r="F32" s="107" t="s">
        <v>86</v>
      </c>
      <c r="G32" s="107"/>
      <c r="I32" s="138"/>
      <c r="K32" s="106"/>
      <c r="L32" s="103" t="s">
        <v>202</v>
      </c>
      <c r="M32" s="103" t="s">
        <v>128</v>
      </c>
      <c r="N32" s="107">
        <v>1066.2717486117276</v>
      </c>
      <c r="O32" s="107">
        <v>1066.2717486117276</v>
      </c>
      <c r="P32" s="107">
        <v>1066.2717486117276</v>
      </c>
      <c r="Q32" s="107">
        <v>1066.2717486117276</v>
      </c>
      <c r="R32" t="s">
        <v>353</v>
      </c>
    </row>
    <row r="33" spans="2:18" ht="15.6">
      <c r="B33" s="106"/>
      <c r="C33" s="103" t="s">
        <v>201</v>
      </c>
      <c r="D33" s="103" t="s">
        <v>123</v>
      </c>
      <c r="E33" s="109" cm="1">
        <f t="array" ref="E33">INDEX(N33:Q33,case_number)</f>
        <v>0.03</v>
      </c>
      <c r="F33" s="109" t="s">
        <v>86</v>
      </c>
      <c r="G33" s="109"/>
      <c r="I33" s="138"/>
      <c r="K33" s="106"/>
      <c r="L33" s="103" t="s">
        <v>201</v>
      </c>
      <c r="M33" s="103" t="s">
        <v>123</v>
      </c>
      <c r="N33" s="109">
        <v>0.03</v>
      </c>
      <c r="O33" s="109">
        <v>0.03</v>
      </c>
      <c r="P33" s="109">
        <v>0.03</v>
      </c>
      <c r="Q33" s="109">
        <v>0.03</v>
      </c>
      <c r="R33" t="s">
        <v>353</v>
      </c>
    </row>
    <row r="34" spans="2:18" ht="15.6">
      <c r="B34" s="106"/>
      <c r="C34" s="103" t="s">
        <v>200</v>
      </c>
      <c r="D34" s="103" t="s">
        <v>128</v>
      </c>
      <c r="E34" s="107" cm="1">
        <f t="array" ref="E34">INDEX(N34:Q34,case_number)</f>
        <v>1042.7284684023807</v>
      </c>
      <c r="F34" s="107" t="s">
        <v>86</v>
      </c>
      <c r="G34" s="107"/>
      <c r="H34" t="s">
        <v>199</v>
      </c>
      <c r="I34" s="138"/>
      <c r="K34" s="106"/>
      <c r="L34" s="103" t="s">
        <v>200</v>
      </c>
      <c r="M34" s="103" t="s">
        <v>128</v>
      </c>
      <c r="N34" s="107">
        <v>1042.7284684023807</v>
      </c>
      <c r="O34" s="107">
        <v>1042.7284684023807</v>
      </c>
      <c r="P34" s="107">
        <v>1042.7284684023807</v>
      </c>
      <c r="Q34" s="107">
        <v>1042.7284684023807</v>
      </c>
      <c r="R34" t="s">
        <v>199</v>
      </c>
    </row>
    <row r="35" spans="2:18" ht="15.6">
      <c r="B35" s="131">
        <f>B31+1</f>
        <v>4</v>
      </c>
      <c r="C35" s="130" t="s">
        <v>276</v>
      </c>
      <c r="D35" s="130" t="s">
        <v>128</v>
      </c>
      <c r="E35" s="129" cm="1">
        <f t="array" ref="E35">INDEX(N35:Q35,case_number)</f>
        <v>837</v>
      </c>
      <c r="F35" s="129" t="s">
        <v>86</v>
      </c>
      <c r="G35" s="129"/>
      <c r="H35" s="132" t="s">
        <v>197</v>
      </c>
      <c r="I35" s="140"/>
      <c r="J35" s="132"/>
      <c r="K35" s="131">
        <v>4</v>
      </c>
      <c r="L35" s="130" t="s">
        <v>276</v>
      </c>
      <c r="M35" s="130" t="s">
        <v>128</v>
      </c>
      <c r="N35" s="129">
        <v>837</v>
      </c>
      <c r="O35" s="129">
        <v>837</v>
      </c>
      <c r="P35" s="129">
        <v>837</v>
      </c>
      <c r="Q35" s="129">
        <v>837</v>
      </c>
      <c r="R35" t="s">
        <v>197</v>
      </c>
    </row>
    <row r="36" spans="2:18" ht="15.6">
      <c r="B36" s="106"/>
      <c r="C36" s="105" t="s">
        <v>196</v>
      </c>
      <c r="D36" s="103" t="s">
        <v>275</v>
      </c>
      <c r="E36" s="114" cm="1">
        <f t="array" ref="E36">INDEX(N36:Q36,case_number)</f>
        <v>1.032511877407802E-9</v>
      </c>
      <c r="F36" s="114" cm="1">
        <f t="array" aca="1" ref="F36" ca="1">1/(INDIRECT(sheet_name&amp;"!bolt.axial_stiffness")*1000000)</f>
        <v>1.0325256451799115E-9</v>
      </c>
      <c r="G36" s="118">
        <f ca="1">(F36-E36)/E36</f>
        <v>1.3334250589028948E-5</v>
      </c>
      <c r="I36" s="141"/>
      <c r="J36" s="142"/>
      <c r="K36" s="106"/>
      <c r="L36" s="105" t="s">
        <v>196</v>
      </c>
      <c r="M36" s="103" t="s">
        <v>275</v>
      </c>
      <c r="N36" s="114">
        <v>1.032511877407802E-9</v>
      </c>
      <c r="O36" s="114">
        <v>1.032511877407802E-9</v>
      </c>
      <c r="P36" s="114">
        <v>1.032511877407802E-9</v>
      </c>
      <c r="Q36" s="114">
        <v>1.032511877407802E-9</v>
      </c>
      <c r="R36" t="s">
        <v>353</v>
      </c>
    </row>
    <row r="37" spans="2:18" ht="15.6">
      <c r="B37" s="106"/>
      <c r="C37" s="105" t="s">
        <v>195</v>
      </c>
      <c r="D37" s="103" t="s">
        <v>275</v>
      </c>
      <c r="E37" s="114" cm="1">
        <f t="array" ref="E37">INDEX(N37:Q37,case_number)</f>
        <v>1.3533583596249607E-10</v>
      </c>
      <c r="F37" s="114" cm="1">
        <f t="array" aca="1" ref="F37" ca="1">1/(INDIRECT(sheet_name&amp;"!clamped_parts_stiffness")*1000000)</f>
        <v>1.3533583596249607E-10</v>
      </c>
      <c r="G37" s="118">
        <f ca="1">(F37-E37)/E37</f>
        <v>0</v>
      </c>
      <c r="H37" s="147"/>
      <c r="I37" s="141"/>
      <c r="J37" s="142"/>
      <c r="K37" s="106"/>
      <c r="L37" s="105" t="s">
        <v>195</v>
      </c>
      <c r="M37" s="103" t="s">
        <v>275</v>
      </c>
      <c r="N37" s="114">
        <v>1.3533583596249607E-10</v>
      </c>
      <c r="O37" s="114">
        <v>1.3533583596249607E-10</v>
      </c>
      <c r="P37" s="114">
        <v>1.3533583596249607E-10</v>
      </c>
      <c r="Q37" s="114">
        <v>1.3533583596249607E-10</v>
      </c>
      <c r="R37" t="s">
        <v>353</v>
      </c>
    </row>
    <row r="38" spans="2:18">
      <c r="B38" s="106"/>
      <c r="C38" s="105" t="s">
        <v>194</v>
      </c>
      <c r="D38" s="103" t="s">
        <v>123</v>
      </c>
      <c r="E38" s="109" cm="1">
        <f t="array" ref="E38">INDEX(N38:Q38,case_number)</f>
        <v>0.11588483191179921</v>
      </c>
      <c r="F38" s="109" cm="1">
        <f t="array" aca="1" ref="F38" ca="1">INDIRECT(sheet_name&amp;"!bolt.axial_stiffness")/(INDIRECT(sheet_name&amp;"!bolt.axial_stiffness")+INDIRECT(sheet_name&amp;"!clamped_parts_stiffness"))</f>
        <v>0.11588346576009163</v>
      </c>
      <c r="G38" s="118">
        <f ca="1">(F38-E38)/E38</f>
        <v>-1.1788874221429488E-5</v>
      </c>
      <c r="H38" s="147"/>
      <c r="I38" s="141"/>
      <c r="J38" s="142"/>
      <c r="K38" s="106"/>
      <c r="L38" s="105" t="s">
        <v>194</v>
      </c>
      <c r="M38" s="103" t="s">
        <v>123</v>
      </c>
      <c r="N38" s="109">
        <v>0.11588483191179921</v>
      </c>
      <c r="O38" s="109">
        <v>0.11588483191179921</v>
      </c>
      <c r="P38" s="109">
        <v>0.11588483191179921</v>
      </c>
      <c r="Q38" s="109">
        <v>0.11588483191179921</v>
      </c>
      <c r="R38" t="s">
        <v>353</v>
      </c>
    </row>
    <row r="39" spans="2:18" ht="15.6">
      <c r="B39" s="106">
        <f>B35+1</f>
        <v>5</v>
      </c>
      <c r="C39" s="105" t="s">
        <v>193</v>
      </c>
      <c r="D39" s="103" t="s">
        <v>128</v>
      </c>
      <c r="E39" s="108" cm="1">
        <f t="array" ref="E39">INDEX(N39:Q39,case_number)</f>
        <v>28.515814103851049</v>
      </c>
      <c r="F39" s="108" t="s">
        <v>86</v>
      </c>
      <c r="G39" s="108"/>
      <c r="I39" s="141"/>
      <c r="J39" s="142"/>
      <c r="K39" s="106">
        <v>5</v>
      </c>
      <c r="L39" s="105" t="s">
        <v>193</v>
      </c>
      <c r="M39" s="103" t="s">
        <v>128</v>
      </c>
      <c r="N39" s="108">
        <v>28.515814103851049</v>
      </c>
      <c r="O39" s="108">
        <v>28.515814103851049</v>
      </c>
      <c r="P39" s="108">
        <v>28.515814103851049</v>
      </c>
      <c r="Q39" s="108">
        <v>28.515814103851049</v>
      </c>
      <c r="R39" t="s">
        <v>353</v>
      </c>
    </row>
    <row r="40" spans="2:18" ht="15.6">
      <c r="B40" s="106"/>
      <c r="C40" s="105" t="s">
        <v>192</v>
      </c>
      <c r="D40" s="103" t="s">
        <v>274</v>
      </c>
      <c r="E40" s="107" cm="1">
        <f t="array" ref="E40">INDEX(N40:Q40,case_number)</f>
        <v>200</v>
      </c>
      <c r="F40" s="107" t="s">
        <v>86</v>
      </c>
      <c r="G40" s="107"/>
      <c r="I40" s="141"/>
      <c r="J40" s="142"/>
      <c r="K40" s="106"/>
      <c r="L40" s="105" t="s">
        <v>192</v>
      </c>
      <c r="M40" s="103" t="s">
        <v>274</v>
      </c>
      <c r="N40" s="107">
        <v>200</v>
      </c>
      <c r="O40" s="107">
        <v>200</v>
      </c>
      <c r="P40" s="107">
        <v>200</v>
      </c>
      <c r="Q40" s="107">
        <v>200</v>
      </c>
      <c r="R40" t="s">
        <v>353</v>
      </c>
    </row>
    <row r="41" spans="2:18" ht="15.6">
      <c r="B41" s="106">
        <f>B39+1</f>
        <v>6</v>
      </c>
      <c r="C41" s="103" t="s">
        <v>191</v>
      </c>
      <c r="D41" s="103" t="s">
        <v>274</v>
      </c>
      <c r="E41" s="107" cm="1">
        <f t="array" ref="E41">INDEX(N41:Q41,case_number)</f>
        <v>33.30212829607494</v>
      </c>
      <c r="F41" s="107" t="s">
        <v>86</v>
      </c>
      <c r="G41" s="107"/>
      <c r="H41" t="s">
        <v>190</v>
      </c>
      <c r="I41" s="143"/>
      <c r="J41" s="142"/>
      <c r="K41" s="106">
        <v>6</v>
      </c>
      <c r="L41" s="103" t="s">
        <v>191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">
        <v>190</v>
      </c>
    </row>
    <row r="42" spans="2:18" ht="15.6">
      <c r="B42" s="106">
        <f>B41+1</f>
        <v>7</v>
      </c>
      <c r="C42" s="103" t="s">
        <v>189</v>
      </c>
      <c r="D42" s="103" t="s">
        <v>128</v>
      </c>
      <c r="E42" s="111" cm="1">
        <f t="array" ref="E42">INDEX(N42:Q42,case_number)</f>
        <v>1126.9658575407177</v>
      </c>
      <c r="F42" s="111" t="s">
        <v>86</v>
      </c>
      <c r="G42" s="111"/>
      <c r="I42" s="143"/>
      <c r="J42" s="142"/>
      <c r="K42" s="106">
        <v>7</v>
      </c>
      <c r="L42" s="103" t="s">
        <v>189</v>
      </c>
      <c r="M42" s="103" t="s">
        <v>128</v>
      </c>
      <c r="N42" s="111">
        <v>1126.9658575407177</v>
      </c>
      <c r="O42" s="111">
        <v>1126.9658575407177</v>
      </c>
      <c r="P42" s="111">
        <v>1126.9658575407177</v>
      </c>
      <c r="Q42" s="111">
        <v>1126.9658575407177</v>
      </c>
      <c r="R42" t="s">
        <v>353</v>
      </c>
    </row>
    <row r="43" spans="2:18" ht="15.6">
      <c r="B43" s="106">
        <f>B42+1</f>
        <v>8</v>
      </c>
      <c r="C43" s="103" t="s">
        <v>188</v>
      </c>
      <c r="D43" s="103" t="s">
        <v>184</v>
      </c>
      <c r="E43" s="107" cm="1">
        <f t="array" ref="E43">INDEX(N43:Q43,case_number)</f>
        <v>694.92799350000007</v>
      </c>
      <c r="F43" s="107" t="s">
        <v>86</v>
      </c>
      <c r="G43" s="107"/>
      <c r="H43" t="s">
        <v>187</v>
      </c>
      <c r="I43" s="143"/>
      <c r="J43" s="142"/>
      <c r="K43" s="106">
        <v>8</v>
      </c>
      <c r="L43" s="103" t="s">
        <v>188</v>
      </c>
      <c r="M43" s="103" t="s">
        <v>184</v>
      </c>
      <c r="N43" s="107">
        <v>694.92799350000007</v>
      </c>
      <c r="O43" s="107">
        <v>694.92799350000007</v>
      </c>
      <c r="P43" s="107">
        <v>694.92799350000007</v>
      </c>
      <c r="Q43" s="107">
        <v>694.92799350000007</v>
      </c>
      <c r="R43" t="s">
        <v>187</v>
      </c>
    </row>
    <row r="44" spans="2:18" ht="15.6">
      <c r="B44" s="106">
        <f>B43+1</f>
        <v>9</v>
      </c>
      <c r="C44" s="103" t="s">
        <v>186</v>
      </c>
      <c r="D44" s="103" t="s">
        <v>184</v>
      </c>
      <c r="E44" s="107" cm="1">
        <f t="array" ref="E44">INDEX(N44:Q44,case_number)</f>
        <v>686.46410949999995</v>
      </c>
      <c r="F44" s="107" t="s">
        <v>86</v>
      </c>
      <c r="G44" s="107"/>
      <c r="I44" s="143"/>
      <c r="J44" s="142"/>
      <c r="K44" s="106">
        <v>9</v>
      </c>
      <c r="L44" s="103" t="s">
        <v>186</v>
      </c>
      <c r="M44" s="103" t="s">
        <v>184</v>
      </c>
      <c r="N44" s="107">
        <v>686.46410949999995</v>
      </c>
      <c r="O44" s="107">
        <v>686.46410949999995</v>
      </c>
      <c r="P44" s="107">
        <v>686.46410949999995</v>
      </c>
      <c r="Q44" s="107">
        <v>686.46410949999995</v>
      </c>
      <c r="R44" t="s">
        <v>353</v>
      </c>
    </row>
    <row r="45" spans="2:18" ht="15.6">
      <c r="B45" s="106">
        <f>B44+1</f>
        <v>10</v>
      </c>
      <c r="C45" s="103" t="s">
        <v>185</v>
      </c>
      <c r="D45" s="103" t="s">
        <v>184</v>
      </c>
      <c r="E45" s="107" cm="1">
        <f t="array" ref="E45">INDEX(N45:Q45,case_number)</f>
        <v>-694.92799350000007</v>
      </c>
      <c r="F45" s="107" t="s">
        <v>86</v>
      </c>
      <c r="G45" s="107"/>
      <c r="I45" s="143"/>
      <c r="J45" s="142"/>
      <c r="K45" s="106">
        <v>10</v>
      </c>
      <c r="L45" s="103" t="s">
        <v>185</v>
      </c>
      <c r="M45" s="103" t="s">
        <v>184</v>
      </c>
      <c r="N45" s="107">
        <v>-694.92799350000007</v>
      </c>
      <c r="O45" s="107">
        <v>-694.92799350000007</v>
      </c>
      <c r="P45" s="107">
        <v>-694.92799350000007</v>
      </c>
      <c r="Q45" s="107">
        <v>-694.92799350000007</v>
      </c>
      <c r="R45" t="s">
        <v>353</v>
      </c>
    </row>
    <row r="46" spans="2:18" ht="15.6">
      <c r="B46" s="106"/>
      <c r="C46" s="103" t="s">
        <v>183</v>
      </c>
      <c r="D46" s="103" t="s">
        <v>128</v>
      </c>
      <c r="E46" s="111" cm="1">
        <f t="array" ref="E46">INDEX(N46:Q46,case_number)</f>
        <v>1771.4046140350874</v>
      </c>
      <c r="F46" s="111" t="s">
        <v>86</v>
      </c>
      <c r="G46" s="111"/>
      <c r="I46" s="143"/>
      <c r="J46" s="142"/>
      <c r="K46" s="106"/>
      <c r="L46" s="103" t="s">
        <v>183</v>
      </c>
      <c r="M46" s="103" t="s">
        <v>128</v>
      </c>
      <c r="N46" s="111">
        <v>1771.4046140350874</v>
      </c>
      <c r="O46" s="111">
        <v>1771.4046140350874</v>
      </c>
      <c r="P46" s="111">
        <v>1771.4046140350874</v>
      </c>
      <c r="Q46" s="111">
        <v>1771.4046140350874</v>
      </c>
      <c r="R46" t="s">
        <v>353</v>
      </c>
    </row>
    <row r="47" spans="2:18" ht="15.6">
      <c r="B47" s="106">
        <f>B45+1</f>
        <v>11</v>
      </c>
      <c r="C47" s="103" t="s">
        <v>182</v>
      </c>
      <c r="D47" s="103" t="s">
        <v>123</v>
      </c>
      <c r="E47" s="104"/>
      <c r="F47" s="110" t="s">
        <v>86</v>
      </c>
      <c r="G47" s="104"/>
      <c r="H47" t="s">
        <v>308</v>
      </c>
      <c r="I47" s="143"/>
      <c r="J47" s="142"/>
      <c r="K47" s="106">
        <v>11</v>
      </c>
      <c r="L47" s="103" t="s">
        <v>182</v>
      </c>
      <c r="M47" s="103" t="s">
        <v>123</v>
      </c>
      <c r="N47" s="104"/>
      <c r="O47" s="104"/>
      <c r="P47" s="104"/>
      <c r="Q47" s="104"/>
      <c r="R47" t="s">
        <v>308</v>
      </c>
    </row>
    <row r="48" spans="2:18" ht="15.6">
      <c r="B48" s="106"/>
      <c r="C48" s="105" t="s">
        <v>181</v>
      </c>
      <c r="D48" s="103" t="s">
        <v>180</v>
      </c>
      <c r="E48" s="110" cm="1">
        <f t="array" ref="E48">INDEX(N48:Q48,case_number)</f>
        <v>60</v>
      </c>
      <c r="F48" s="110" cm="1">
        <f t="array" aca="1" ref="F48" ca="1">INDIRECT(sheet_name&amp;"!gap.angle")</f>
        <v>59.999999999999993</v>
      </c>
      <c r="G48" s="118">
        <f t="shared" ref="G48:G53" ca="1" si="0">(F48-E48)/E48</f>
        <v>-1.1842378929335003E-16</v>
      </c>
      <c r="I48" s="141"/>
      <c r="J48" s="142"/>
      <c r="K48" s="106"/>
      <c r="L48" s="105" t="s">
        <v>181</v>
      </c>
      <c r="M48" s="103" t="s">
        <v>180</v>
      </c>
      <c r="N48" s="110">
        <v>30</v>
      </c>
      <c r="O48" s="110">
        <v>60</v>
      </c>
      <c r="P48" s="110">
        <v>90</v>
      </c>
      <c r="Q48" s="110">
        <v>120</v>
      </c>
      <c r="R48" t="s">
        <v>353</v>
      </c>
    </row>
    <row r="49" spans="2:18" ht="15.6">
      <c r="B49" s="106"/>
      <c r="C49" s="103" t="s">
        <v>179</v>
      </c>
      <c r="D49" s="103" t="s">
        <v>173</v>
      </c>
      <c r="E49" s="109" cm="1">
        <f t="array" ref="E49">INDEX(N49:Q49,case_number)</f>
        <v>3.9269908169872414</v>
      </c>
      <c r="F49" s="109" cm="1">
        <f t="array" aca="1" ref="F49" ca="1">INDIRECT(sheet_name&amp;"!gap.L")/1000</f>
        <v>3.926990816987241</v>
      </c>
      <c r="G49" s="118">
        <f t="shared" ca="1" si="0"/>
        <v>-1.1308638867425837E-16</v>
      </c>
      <c r="H49" t="s">
        <v>321</v>
      </c>
      <c r="I49" s="143"/>
      <c r="J49" s="142"/>
      <c r="K49" s="106"/>
      <c r="L49" s="103" t="s">
        <v>179</v>
      </c>
      <c r="M49" s="103" t="s">
        <v>173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">
        <v>321</v>
      </c>
    </row>
    <row r="50" spans="2:18">
      <c r="B50" s="106"/>
      <c r="C50" s="103" t="s">
        <v>93</v>
      </c>
      <c r="D50" s="103" t="s">
        <v>173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0"/>
        <v>0</v>
      </c>
      <c r="I50" s="143"/>
      <c r="J50" s="142"/>
      <c r="K50" s="106"/>
      <c r="L50" s="103" t="s">
        <v>93</v>
      </c>
      <c r="M50" s="103" t="s">
        <v>173</v>
      </c>
      <c r="N50" s="109">
        <v>7.5</v>
      </c>
      <c r="O50" s="109">
        <v>7.5</v>
      </c>
      <c r="P50" s="109">
        <v>7.5</v>
      </c>
      <c r="Q50" s="109">
        <v>7.5</v>
      </c>
      <c r="R50" t="s">
        <v>353</v>
      </c>
    </row>
    <row r="51" spans="2:18" ht="15.6">
      <c r="B51" s="106"/>
      <c r="C51" s="103" t="s">
        <v>178</v>
      </c>
      <c r="D51" s="103" t="s">
        <v>177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0"/>
        <v>0</v>
      </c>
      <c r="I51" s="143"/>
      <c r="J51" s="142"/>
      <c r="K51" s="106"/>
      <c r="L51" s="103" t="s">
        <v>178</v>
      </c>
      <c r="M51" s="103" t="s">
        <v>177</v>
      </c>
      <c r="N51" s="108">
        <v>1.4</v>
      </c>
      <c r="O51" s="108">
        <v>1.4</v>
      </c>
      <c r="P51" s="108">
        <v>1.4</v>
      </c>
      <c r="Q51" s="108">
        <v>1.4</v>
      </c>
      <c r="R51" t="s">
        <v>353</v>
      </c>
    </row>
    <row r="52" spans="2:18" ht="15.6">
      <c r="B52" s="106">
        <f>B47+1</f>
        <v>12</v>
      </c>
      <c r="C52" s="103" t="s">
        <v>176</v>
      </c>
      <c r="D52" s="103" t="s">
        <v>126</v>
      </c>
      <c r="E52" s="109" cm="1">
        <f t="array" ref="E52">INDEX(N52:Q52,case_number)</f>
        <v>0.74253427729521915</v>
      </c>
      <c r="F52" s="109" cm="1">
        <f t="array" aca="1" ref="F52" ca="1">INDIRECT(sheet_name&amp;"!gap.k_mean")</f>
        <v>0.74253427729521959</v>
      </c>
      <c r="G52" s="118">
        <f t="shared" ca="1" si="0"/>
        <v>5.9807233609163099E-16</v>
      </c>
      <c r="I52" s="143"/>
      <c r="J52" s="142"/>
      <c r="K52" s="106">
        <v>12</v>
      </c>
      <c r="L52" s="103" t="s">
        <v>176</v>
      </c>
      <c r="M52" s="103" t="s">
        <v>126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">
        <v>353</v>
      </c>
    </row>
    <row r="53" spans="2:18" ht="15.6">
      <c r="B53" s="106">
        <f>B52+1</f>
        <v>13</v>
      </c>
      <c r="C53" s="103" t="s">
        <v>175</v>
      </c>
      <c r="D53" s="103" t="s">
        <v>123</v>
      </c>
      <c r="E53" s="109" cm="1">
        <f t="array" ref="E53">INDEX(N53:Q53,case_number)</f>
        <v>0.63575115537527993</v>
      </c>
      <c r="F53" s="109" cm="1">
        <f t="array" aca="1" ref="F53" ca="1">INDIRECT(sheet_name&amp;"!gap.COV")</f>
        <v>0.63575115537527982</v>
      </c>
      <c r="G53" s="118">
        <f t="shared" ca="1" si="0"/>
        <v>-1.7463169594553058E-16</v>
      </c>
      <c r="I53" s="143"/>
      <c r="J53" s="142"/>
      <c r="K53" s="106">
        <v>13</v>
      </c>
      <c r="L53" s="103" t="s">
        <v>175</v>
      </c>
      <c r="M53" s="103" t="s">
        <v>123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">
        <v>353</v>
      </c>
    </row>
    <row r="54" spans="2:18" ht="15.6">
      <c r="B54" s="106"/>
      <c r="C54" s="103" t="s">
        <v>174</v>
      </c>
      <c r="D54" s="103" t="s">
        <v>173</v>
      </c>
      <c r="E54" s="109" cm="1">
        <f t="array" ref="E54">INDEX(N54:Q54,case_number)</f>
        <v>1.9634954084936205</v>
      </c>
      <c r="F54" s="109" t="s">
        <v>86</v>
      </c>
      <c r="G54" s="109"/>
      <c r="I54" s="143"/>
      <c r="J54" s="142"/>
      <c r="K54" s="106"/>
      <c r="L54" s="103" t="s">
        <v>174</v>
      </c>
      <c r="M54" s="103" t="s">
        <v>173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">
        <v>353</v>
      </c>
    </row>
    <row r="55" spans="2:18" ht="15.6">
      <c r="B55" s="106">
        <f>B53+1</f>
        <v>14</v>
      </c>
      <c r="C55" s="103" t="s">
        <v>172</v>
      </c>
      <c r="D55" s="103" t="s">
        <v>126</v>
      </c>
      <c r="E55" s="109" cm="1">
        <f t="array" ref="E55">INDEX(N55:Q55,case_number)</f>
        <v>1.9617469257392748</v>
      </c>
      <c r="F55" s="109" t="s">
        <v>86</v>
      </c>
      <c r="G55" s="109"/>
      <c r="I55" s="143"/>
      <c r="J55" s="142"/>
      <c r="K55" s="106">
        <v>14</v>
      </c>
      <c r="L55" s="103" t="s">
        <v>172</v>
      </c>
      <c r="M55" s="103" t="s">
        <v>126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">
        <v>353</v>
      </c>
    </row>
    <row r="56" spans="2:18" ht="15.6">
      <c r="B56" s="106">
        <f>B55+1</f>
        <v>15</v>
      </c>
      <c r="C56" s="103" t="s">
        <v>171</v>
      </c>
      <c r="D56" s="103" t="s">
        <v>126</v>
      </c>
      <c r="E56" s="109" cm="1">
        <f t="array" ref="E56">INDEX(N56:Q56,case_number)</f>
        <v>2.942620388608912</v>
      </c>
      <c r="F56" s="109" t="s">
        <v>86</v>
      </c>
      <c r="G56" s="109"/>
      <c r="I56" s="143"/>
      <c r="J56" s="142"/>
      <c r="K56" s="106">
        <v>15</v>
      </c>
      <c r="L56" s="103" t="s">
        <v>171</v>
      </c>
      <c r="M56" s="103" t="s">
        <v>126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">
        <v>353</v>
      </c>
    </row>
    <row r="57" spans="2:18" ht="15.6">
      <c r="B57" s="106">
        <f>B56+1</f>
        <v>16</v>
      </c>
      <c r="C57" s="105" t="s">
        <v>170</v>
      </c>
      <c r="D57" s="103"/>
      <c r="E57" s="109" cm="1">
        <f t="array" ref="E57">INDEX(N57:Q57,case_number)</f>
        <v>0.58262609700472079</v>
      </c>
      <c r="F57" s="109" t="s">
        <v>86</v>
      </c>
      <c r="G57" s="109"/>
      <c r="I57" s="141"/>
      <c r="J57" s="142"/>
      <c r="K57" s="106">
        <v>16</v>
      </c>
      <c r="L57" s="105" t="s">
        <v>170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">
        <v>353</v>
      </c>
    </row>
    <row r="58" spans="2:18" ht="15.6">
      <c r="B58" s="106">
        <f>B57+1</f>
        <v>17</v>
      </c>
      <c r="C58" s="105" t="s">
        <v>169</v>
      </c>
      <c r="D58" s="103"/>
      <c r="E58" s="109" cm="1">
        <f t="array" ref="E58">INDEX(N58:Q58,case_number)</f>
        <v>-0.46741282911895099</v>
      </c>
      <c r="F58" s="109" t="s">
        <v>86</v>
      </c>
      <c r="G58" s="109"/>
      <c r="I58" s="141"/>
      <c r="J58" s="142"/>
      <c r="K58" s="106">
        <v>17</v>
      </c>
      <c r="L58" s="105" t="s">
        <v>169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">
        <v>353</v>
      </c>
    </row>
    <row r="59" spans="2:18" ht="15.6">
      <c r="B59" s="106">
        <f>B58+1</f>
        <v>18</v>
      </c>
      <c r="C59" s="103" t="s">
        <v>168</v>
      </c>
      <c r="D59" s="103"/>
      <c r="E59" s="109" cm="1">
        <f t="array" ref="E59">INDEX(N59:Q59,case_number)</f>
        <v>0.49094883784411425</v>
      </c>
      <c r="F59" s="113" t="s">
        <v>86</v>
      </c>
      <c r="G59" s="109"/>
      <c r="I59" s="143"/>
      <c r="J59" s="142"/>
      <c r="K59" s="106">
        <v>18</v>
      </c>
      <c r="L59" s="103" t="s">
        <v>168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">
        <v>353</v>
      </c>
    </row>
    <row r="60" spans="2:18" ht="15.6">
      <c r="B60" s="106">
        <f>B59+1</f>
        <v>19</v>
      </c>
      <c r="C60" s="103" t="s">
        <v>167</v>
      </c>
      <c r="D60" s="103" t="s">
        <v>126</v>
      </c>
      <c r="E60" s="109" cm="1">
        <f t="array" ref="E60">INDEX(N60:Q60,case_number)</f>
        <v>1.6338216149415525</v>
      </c>
      <c r="F60" s="109" cm="1">
        <f t="array" aca="1" ref="F60" ca="1">INDIRECT(sheet_name&amp;"!gap.h")</f>
        <v>1.6338216149415536</v>
      </c>
      <c r="G60" s="118">
        <f t="shared" ref="G60:G61" ca="1" si="1">(F60-E60)/E60</f>
        <v>6.7952523976424013E-16</v>
      </c>
      <c r="I60" s="143"/>
      <c r="J60" s="142"/>
      <c r="K60" s="106">
        <v>19</v>
      </c>
      <c r="L60" s="103" t="s">
        <v>167</v>
      </c>
      <c r="M60" s="103" t="s">
        <v>126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">
        <v>353</v>
      </c>
    </row>
    <row r="61" spans="2:18" ht="15.6">
      <c r="B61" s="106"/>
      <c r="C61" s="103" t="s">
        <v>166</v>
      </c>
      <c r="D61" s="103" t="s">
        <v>126</v>
      </c>
      <c r="E61" s="109" cm="1">
        <f t="array" ref="E61">INDEX(N61:Q61,case_number)</f>
        <v>1.6338216149415525</v>
      </c>
      <c r="F61" s="109" cm="1">
        <f t="array" aca="1" ref="F61" ca="1">INDIRECT(sheet_name&amp;"!gap.h")</f>
        <v>1.6338216149415536</v>
      </c>
      <c r="G61" s="118">
        <f t="shared" ca="1" si="1"/>
        <v>6.7952523976424013E-16</v>
      </c>
      <c r="H61" t="s">
        <v>165</v>
      </c>
      <c r="I61" s="143"/>
      <c r="J61" s="142"/>
      <c r="K61" s="106"/>
      <c r="L61" s="103" t="s">
        <v>166</v>
      </c>
      <c r="M61" s="103" t="s">
        <v>126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">
        <v>165</v>
      </c>
    </row>
    <row r="62" spans="2:18">
      <c r="B62" s="106">
        <f>B60+1</f>
        <v>20</v>
      </c>
      <c r="C62" s="103" t="s">
        <v>164</v>
      </c>
      <c r="D62" s="103"/>
      <c r="E62" s="128"/>
      <c r="F62" s="128"/>
      <c r="G62" s="128"/>
      <c r="H62" t="s">
        <v>163</v>
      </c>
      <c r="I62" s="143"/>
      <c r="J62" s="142"/>
      <c r="K62" s="106">
        <v>20</v>
      </c>
      <c r="L62" s="103" t="s">
        <v>164</v>
      </c>
      <c r="M62" s="103"/>
      <c r="N62" s="128"/>
      <c r="O62" s="128"/>
      <c r="P62" s="128"/>
      <c r="Q62" s="128"/>
      <c r="R62" t="s">
        <v>163</v>
      </c>
    </row>
    <row r="63" spans="2:18">
      <c r="B63" s="106">
        <f>B62+1</f>
        <v>21</v>
      </c>
      <c r="C63" s="112" t="s">
        <v>162</v>
      </c>
      <c r="D63" s="103"/>
      <c r="E63" s="128"/>
      <c r="F63" s="128"/>
      <c r="G63" s="128"/>
      <c r="H63" t="s">
        <v>161</v>
      </c>
      <c r="I63" s="144"/>
      <c r="J63" s="142"/>
      <c r="K63" s="106">
        <v>21</v>
      </c>
      <c r="L63" s="112" t="s">
        <v>162</v>
      </c>
      <c r="M63" s="103"/>
      <c r="N63" s="128"/>
      <c r="O63" s="128"/>
      <c r="P63" s="128"/>
      <c r="Q63" s="128"/>
      <c r="R63" t="s">
        <v>161</v>
      </c>
    </row>
    <row r="64" spans="2:18" ht="15.6">
      <c r="B64" s="106">
        <f>B63+1</f>
        <v>22</v>
      </c>
      <c r="C64" s="103" t="s">
        <v>160</v>
      </c>
      <c r="D64" s="103"/>
      <c r="E64" s="104"/>
      <c r="F64" s="104"/>
      <c r="G64" s="104"/>
      <c r="I64" s="143"/>
      <c r="J64" s="142"/>
      <c r="K64" s="106">
        <v>22</v>
      </c>
      <c r="L64" s="103" t="s">
        <v>160</v>
      </c>
      <c r="M64" s="103"/>
      <c r="N64" s="104"/>
      <c r="O64" s="104"/>
      <c r="P64" s="104"/>
      <c r="Q64" s="104"/>
      <c r="R64" t="s">
        <v>353</v>
      </c>
    </row>
    <row r="65" spans="2:18" ht="15.6">
      <c r="B65" s="106">
        <f>B64+1</f>
        <v>23</v>
      </c>
      <c r="C65" s="103" t="s">
        <v>159</v>
      </c>
      <c r="D65" s="103"/>
      <c r="E65" s="104"/>
      <c r="F65" s="104"/>
      <c r="G65" s="104"/>
      <c r="I65" s="143"/>
      <c r="J65" s="142"/>
      <c r="K65" s="106">
        <v>23</v>
      </c>
      <c r="L65" s="103" t="s">
        <v>159</v>
      </c>
      <c r="M65" s="103"/>
      <c r="N65" s="104"/>
      <c r="O65" s="104"/>
      <c r="P65" s="104"/>
      <c r="Q65" s="104"/>
      <c r="R65" t="s">
        <v>353</v>
      </c>
    </row>
    <row r="66" spans="2:18" ht="15.6">
      <c r="B66" s="106">
        <f>B65+1</f>
        <v>24</v>
      </c>
      <c r="C66" s="103" t="s">
        <v>158</v>
      </c>
      <c r="D66" s="103"/>
      <c r="E66" s="128"/>
      <c r="F66" s="128"/>
      <c r="G66" s="128"/>
      <c r="H66" t="s">
        <v>157</v>
      </c>
      <c r="I66" s="143"/>
      <c r="J66" s="142"/>
      <c r="K66" s="106">
        <v>24</v>
      </c>
      <c r="L66" s="103" t="s">
        <v>158</v>
      </c>
      <c r="M66" s="103"/>
      <c r="N66" s="128"/>
      <c r="O66" s="128"/>
      <c r="P66" s="128"/>
      <c r="Q66" s="128"/>
      <c r="R66" t="s">
        <v>157</v>
      </c>
    </row>
    <row r="67" spans="2:18" ht="15.6">
      <c r="B67" s="106"/>
      <c r="C67" s="103" t="s">
        <v>320</v>
      </c>
      <c r="D67" s="103" t="s">
        <v>128</v>
      </c>
      <c r="E67" s="109" cm="1">
        <f t="array" ref="E67">INDEX(N67:Q67,case_number)</f>
        <v>-81.400000000000006</v>
      </c>
      <c r="F67" s="109" cm="1">
        <f t="array" aca="1" ref="F67" ca="1">INDIRECT(sheet_name&amp;"!Point1.Z")</f>
        <v>-81.400000000000006</v>
      </c>
      <c r="G67" s="118">
        <f t="shared" ref="G67" ca="1" si="2">(F67-E67)/E67</f>
        <v>0</v>
      </c>
      <c r="K67" s="106"/>
      <c r="L67" s="103" t="s">
        <v>320</v>
      </c>
      <c r="M67" s="103" t="s">
        <v>128</v>
      </c>
      <c r="N67" s="109">
        <v>-81.400000000000006</v>
      </c>
      <c r="O67" s="109">
        <v>-81.400000000000006</v>
      </c>
      <c r="P67" s="109">
        <v>-81.400000000000006</v>
      </c>
      <c r="Q67" s="109">
        <v>-81.400000000000006</v>
      </c>
    </row>
    <row r="68" spans="2:18" ht="15.6">
      <c r="B68" s="106"/>
      <c r="C68" s="103" t="s">
        <v>319</v>
      </c>
      <c r="D68" s="103" t="s">
        <v>128</v>
      </c>
      <c r="E68" s="107" cm="1">
        <f t="array" ref="E68">INDEX(N68:Q68,case_number)</f>
        <v>928</v>
      </c>
      <c r="F68" s="107" cm="1">
        <f t="array" aca="1" ref="F68" ca="1">INDIRECT(sheet_name&amp;"!Point1.Fs")</f>
        <v>928</v>
      </c>
      <c r="G68" s="118">
        <f t="shared" ref="G68:G72" ca="1" si="3">(F68-E68)/E68</f>
        <v>0</v>
      </c>
      <c r="K68" s="106"/>
      <c r="L68" s="103" t="s">
        <v>319</v>
      </c>
      <c r="M68" s="103" t="s">
        <v>128</v>
      </c>
      <c r="N68" s="109">
        <v>928</v>
      </c>
      <c r="O68" s="109">
        <v>928</v>
      </c>
      <c r="P68" s="109">
        <v>928</v>
      </c>
      <c r="Q68" s="109">
        <v>928</v>
      </c>
    </row>
    <row r="69" spans="2:18" ht="15.6">
      <c r="B69" s="106"/>
      <c r="C69" s="103" t="s">
        <v>318</v>
      </c>
      <c r="D69" s="103" t="s">
        <v>128</v>
      </c>
      <c r="E69" s="108" cm="1">
        <f t="array" ref="E69">INDEX(N69:Q69,case_number)</f>
        <v>1184.4900777083901</v>
      </c>
      <c r="F69" s="108" cm="1">
        <f t="array" aca="1" ref="F69" ca="1">INDIRECT(sheet_name&amp;"!Point2.Z")</f>
        <v>1185.857197292632</v>
      </c>
      <c r="G69" s="118">
        <f t="shared" ca="1" si="3"/>
        <v>1.1541840746246102E-3</v>
      </c>
      <c r="K69" s="106"/>
      <c r="L69" s="103" t="s">
        <v>318</v>
      </c>
      <c r="M69" s="103" t="s">
        <v>128</v>
      </c>
      <c r="N69" s="109">
        <v>1109.9323805033907</v>
      </c>
      <c r="O69" s="109">
        <v>1184.4900777083901</v>
      </c>
      <c r="P69" s="109">
        <v>1206.0160383976674</v>
      </c>
      <c r="Q69" s="109">
        <v>1211.9684800116395</v>
      </c>
    </row>
    <row r="70" spans="2:18" ht="15.6">
      <c r="B70" s="106"/>
      <c r="C70" s="103" t="s">
        <v>317</v>
      </c>
      <c r="D70" s="103" t="s">
        <v>128</v>
      </c>
      <c r="E70" s="107" cm="1">
        <f t="array" ref="E70">INDEX(N70:Q70,case_number)</f>
        <v>1160</v>
      </c>
      <c r="F70" s="107" cm="1">
        <f t="array" aca="1" ref="F70" ca="1">INDIRECT(sheet_name&amp;"!Point2.Fs")</f>
        <v>1160</v>
      </c>
      <c r="G70" s="118">
        <f t="shared" ca="1" si="3"/>
        <v>0</v>
      </c>
      <c r="K70" s="106"/>
      <c r="L70" s="103" t="s">
        <v>317</v>
      </c>
      <c r="M70" s="103" t="s">
        <v>128</v>
      </c>
      <c r="N70" s="109">
        <v>1160</v>
      </c>
      <c r="O70" s="109">
        <v>1160</v>
      </c>
      <c r="P70" s="109">
        <v>1160</v>
      </c>
      <c r="Q70" s="109">
        <v>1160</v>
      </c>
    </row>
    <row r="71" spans="2:18" ht="15.6">
      <c r="B71" s="106"/>
      <c r="C71" s="103" t="s">
        <v>316</v>
      </c>
      <c r="D71" s="103" t="s">
        <v>128</v>
      </c>
      <c r="E71" s="107" cm="1">
        <f t="array" ref="E71">INDEX(N71:Q71,case_number)</f>
        <v>120.53065291787706</v>
      </c>
      <c r="F71" s="107" cm="1">
        <f t="array" aca="1" ref="F71" ca="1">INDIRECT(sheet_name&amp;"!Point3.Z")</f>
        <v>120.51030603749113</v>
      </c>
      <c r="G71" s="118">
        <f t="shared" ca="1" si="3"/>
        <v>-1.6881083685651904E-4</v>
      </c>
      <c r="K71" s="106"/>
      <c r="L71" s="103" t="s">
        <v>316</v>
      </c>
      <c r="M71" s="103" t="s">
        <v>128</v>
      </c>
      <c r="N71" s="109">
        <v>128.02560351230306</v>
      </c>
      <c r="O71" s="109">
        <v>120.53065291787706</v>
      </c>
      <c r="P71" s="109">
        <v>118.46085373121602</v>
      </c>
      <c r="Q71" s="109">
        <v>117.57444154365875</v>
      </c>
    </row>
    <row r="72" spans="2:18" ht="15.6">
      <c r="B72" s="106"/>
      <c r="C72" s="103" t="s">
        <v>315</v>
      </c>
      <c r="D72" s="103" t="s">
        <v>128</v>
      </c>
      <c r="E72" s="107" cm="1">
        <f t="array" ref="E72">INDEX(N72:Q72,case_number)</f>
        <v>939.70034988561406</v>
      </c>
      <c r="F72" s="107" cm="1">
        <f t="array" aca="1" ref="F72" ca="1">INDIRECT(sheet_name&amp;"!Point3.Fs")</f>
        <v>942.85733767534487</v>
      </c>
      <c r="G72" s="118">
        <f t="shared" ca="1" si="3"/>
        <v>3.3595686009003757E-3</v>
      </c>
      <c r="K72" s="106"/>
      <c r="L72" s="103" t="s">
        <v>315</v>
      </c>
      <c r="M72" s="103" t="s">
        <v>128</v>
      </c>
      <c r="N72" s="109">
        <v>940.13462543052515</v>
      </c>
      <c r="O72" s="109">
        <v>939.70034988561406</v>
      </c>
      <c r="P72" s="109">
        <v>939.58042072019532</v>
      </c>
      <c r="Q72" s="109">
        <v>939.52905985651546</v>
      </c>
    </row>
    <row r="73" spans="2:18" ht="15.6">
      <c r="B73" s="106"/>
      <c r="C73" s="103" t="s">
        <v>314</v>
      </c>
      <c r="D73" s="103"/>
      <c r="E73" s="107" cm="1">
        <f t="array" ref="E73">INDEX(N73:Q73,case_number)</f>
        <v>271971446.63180637</v>
      </c>
      <c r="F73" s="110" t="s">
        <v>86</v>
      </c>
      <c r="G73" s="110"/>
      <c r="K73" s="106"/>
      <c r="L73" s="103" t="s">
        <v>314</v>
      </c>
      <c r="M73" s="103"/>
      <c r="N73" s="110">
        <v>244981324.99932083</v>
      </c>
      <c r="O73" s="110">
        <v>271971446.63180637</v>
      </c>
      <c r="P73" s="110">
        <v>279832373.77799094</v>
      </c>
      <c r="Q73" s="110">
        <v>281639319.22082448</v>
      </c>
    </row>
    <row r="74" spans="2:18" ht="15.6">
      <c r="B74" s="106"/>
      <c r="C74" s="103" t="s">
        <v>313</v>
      </c>
      <c r="D74" s="103"/>
      <c r="E74" s="107" cm="1">
        <f t="array" ref="E74">INDEX(N74:Q74,case_number)</f>
        <v>32036.554651032147</v>
      </c>
      <c r="F74" s="111" t="s">
        <v>86</v>
      </c>
      <c r="G74" s="111"/>
      <c r="K74" s="106"/>
      <c r="L74" s="103" t="s">
        <v>313</v>
      </c>
      <c r="M74" s="103"/>
      <c r="N74" s="111">
        <v>34130.367814189798</v>
      </c>
      <c r="O74" s="111">
        <v>32036.554651032147</v>
      </c>
      <c r="P74" s="111">
        <v>31458.898699069996</v>
      </c>
      <c r="Q74" s="111">
        <v>31250.747815544226</v>
      </c>
    </row>
    <row r="75" spans="2:18" ht="15.6">
      <c r="B75" s="106"/>
      <c r="C75" s="103" t="s">
        <v>312</v>
      </c>
      <c r="D75" s="103"/>
      <c r="E75" s="107" cm="1">
        <f t="array" ref="E75">INDEX(N75:Q75,case_number)</f>
        <v>14505071.388133783</v>
      </c>
      <c r="F75" s="111" t="s">
        <v>86</v>
      </c>
      <c r="G75" s="111"/>
      <c r="K75" s="106"/>
      <c r="L75" s="103" t="s">
        <v>312</v>
      </c>
      <c r="M75" s="103"/>
      <c r="N75" s="111">
        <v>12603460.837104561</v>
      </c>
      <c r="O75" s="111">
        <v>14505071.388133783</v>
      </c>
      <c r="P75" s="111">
        <v>15048270.156139735</v>
      </c>
      <c r="Q75" s="111">
        <v>15188384.233780306</v>
      </c>
    </row>
    <row r="76" spans="2:18" ht="15.6">
      <c r="B76" s="106"/>
      <c r="C76" s="105" t="s">
        <v>311</v>
      </c>
      <c r="D76" s="103"/>
      <c r="E76" s="145" cm="1">
        <f t="array" ref="E76">INDEX(N76:Q76,case_number)</f>
        <v>1.1779381640162793E-4</v>
      </c>
      <c r="F76" s="145" cm="1">
        <f t="array" aca="1" ref="F76" ca="1">INDIRECT(sheet_name&amp;"!Fs_coeff.tens.2")*1000</f>
        <v>1.0277281106031538E-4</v>
      </c>
      <c r="G76" s="118">
        <f t="shared" ref="G76:G78" ca="1" si="4">(F76-E76)/E76</f>
        <v>-0.12751947258502233</v>
      </c>
      <c r="K76" s="106"/>
      <c r="L76" s="105" t="s">
        <v>311</v>
      </c>
      <c r="M76" s="103"/>
      <c r="N76" s="154">
        <v>1.3931824319377985E-4</v>
      </c>
      <c r="O76" s="154">
        <v>1.1779381640162793E-4</v>
      </c>
      <c r="P76" s="154">
        <v>1.124205118741135E-4</v>
      </c>
      <c r="Q76" s="154">
        <v>1.1096017382090568E-4</v>
      </c>
    </row>
    <row r="77" spans="2:18" ht="15.6">
      <c r="B77" s="106"/>
      <c r="C77" s="105" t="s">
        <v>310</v>
      </c>
      <c r="D77" s="103"/>
      <c r="E77" s="145" cm="1">
        <f t="array" ref="E77">INDEX(N77:Q77,case_number)</f>
        <v>5.3333067010415541E-2</v>
      </c>
      <c r="F77" s="145" cm="1">
        <f t="array" aca="1" ref="F77" ca="1">INDIRECT(sheet_name&amp;"!Fs_coeff.tens.1")</f>
        <v>6.9564373919123096E-2</v>
      </c>
      <c r="G77" s="118">
        <f t="shared" ca="1" si="4"/>
        <v>0.3043385242693375</v>
      </c>
      <c r="K77" s="106"/>
      <c r="L77" s="105" t="s">
        <v>310</v>
      </c>
      <c r="M77" s="103"/>
      <c r="N77" s="154">
        <v>5.1446618786715685E-2</v>
      </c>
      <c r="O77" s="154">
        <v>5.3333067010415541E-2</v>
      </c>
      <c r="P77" s="154">
        <v>5.3776015808944602E-2</v>
      </c>
      <c r="Q77" s="154">
        <v>5.3928493634340789E-2</v>
      </c>
    </row>
    <row r="78" spans="2:18" ht="14.4">
      <c r="B78" s="106"/>
      <c r="C78" s="112" t="s">
        <v>309</v>
      </c>
      <c r="D78" s="103"/>
      <c r="E78" s="108" cm="1">
        <f t="array" ref="E78">INDEX(N78:Q78,case_number)</f>
        <v>931.5608145389233</v>
      </c>
      <c r="F78" s="107" cm="1">
        <f t="array" aca="1" ref="F78" ca="1">INDIRECT(sheet_name&amp;"!Fs_coeff.tens.0")/1000</f>
        <v>932.9815715018434</v>
      </c>
      <c r="G78" s="118">
        <f t="shared" ca="1" si="4"/>
        <v>1.5251360305696344E-3</v>
      </c>
      <c r="K78" s="106"/>
      <c r="L78" s="112" t="s">
        <v>309</v>
      </c>
      <c r="M78" s="103"/>
      <c r="N78" s="108">
        <v>931.26463766256632</v>
      </c>
      <c r="O78" s="108">
        <v>931.5608145389233</v>
      </c>
      <c r="P78" s="108">
        <v>931.63247387199067</v>
      </c>
      <c r="Q78" s="108">
        <v>931.65456170850496</v>
      </c>
    </row>
    <row r="79" spans="2:18" ht="15.6">
      <c r="B79" s="106">
        <f>B66+1</f>
        <v>25</v>
      </c>
      <c r="C79" s="105" t="s">
        <v>156</v>
      </c>
      <c r="D79" s="103" t="s">
        <v>128</v>
      </c>
      <c r="E79" s="107" cm="1">
        <f t="array" ref="E79">INDEX(N79:Q79,case_number)</f>
        <v>488.0266618822701</v>
      </c>
      <c r="F79" s="107" cm="1">
        <f t="array" aca="1" ref="F79" ca="1">-INDIRECT(sheet_name&amp;"!DZ_gap")</f>
        <v>486.28924027407209</v>
      </c>
      <c r="G79" s="118">
        <f ca="1">(F79-E79)/E79</f>
        <v>-3.5600956748898876E-3</v>
      </c>
      <c r="I79" s="139"/>
      <c r="K79" s="106">
        <v>25</v>
      </c>
      <c r="L79" s="105" t="s">
        <v>156</v>
      </c>
      <c r="M79" s="103" t="s">
        <v>128</v>
      </c>
      <c r="N79" s="107">
        <v>637.77041836917033</v>
      </c>
      <c r="O79" s="107">
        <v>488.0266618822701</v>
      </c>
      <c r="P79" s="107">
        <v>441.32026102778207</v>
      </c>
      <c r="Q79" s="107">
        <v>424.7452088545611</v>
      </c>
      <c r="R79" t="s">
        <v>353</v>
      </c>
    </row>
    <row r="80" spans="2:18" ht="15.6">
      <c r="B80" s="106"/>
      <c r="C80" s="103" t="s">
        <v>145</v>
      </c>
      <c r="D80" s="103" t="s">
        <v>144</v>
      </c>
      <c r="E80" s="111" cm="1">
        <f t="array" ref="E80">INDEX(N80:Q80,case_number)</f>
        <v>13549.060796402058</v>
      </c>
      <c r="F80" s="111" t="s">
        <v>86</v>
      </c>
      <c r="G80" s="111"/>
      <c r="I80" s="138"/>
      <c r="K80" s="106"/>
      <c r="L80" s="103" t="s">
        <v>145</v>
      </c>
      <c r="M80" s="103" t="s">
        <v>144</v>
      </c>
      <c r="N80" s="111">
        <v>13549.060796402058</v>
      </c>
      <c r="O80" s="111">
        <v>13549.060796402058</v>
      </c>
      <c r="P80" s="111">
        <v>13549.060796402058</v>
      </c>
      <c r="Q80" s="111">
        <v>13549.060796402058</v>
      </c>
      <c r="R80" t="s">
        <v>353</v>
      </c>
    </row>
    <row r="81" spans="2:18" ht="16.8">
      <c r="B81" s="106"/>
      <c r="C81" s="103" t="s">
        <v>143</v>
      </c>
      <c r="D81" s="103" t="s">
        <v>273</v>
      </c>
      <c r="E81" s="114" cm="1">
        <f t="array" ref="E81">INDEX(N81:Q81,case_number)</f>
        <v>16258872.955682471</v>
      </c>
      <c r="F81" s="114" cm="1">
        <f t="array" aca="1" ref="F81" ca="1">INDIRECT(sheet_name&amp;"!I_tg")</f>
        <v>16761025.12543226</v>
      </c>
      <c r="G81" s="118">
        <f t="shared" ref="G81:G83" ca="1" si="5">(F81-E81)/E81</f>
        <v>3.0884808013355372E-2</v>
      </c>
      <c r="I81" s="138"/>
      <c r="K81" s="106"/>
      <c r="L81" s="103" t="s">
        <v>143</v>
      </c>
      <c r="M81" s="103" t="s">
        <v>273</v>
      </c>
      <c r="N81" s="155">
        <v>16258872.955682471</v>
      </c>
      <c r="O81" s="155">
        <v>16258872.955682471</v>
      </c>
      <c r="P81" s="155">
        <v>16258872.955682471</v>
      </c>
      <c r="Q81" s="155">
        <v>16258872.955682471</v>
      </c>
      <c r="R81" t="s">
        <v>353</v>
      </c>
    </row>
    <row r="82" spans="2:18" ht="15.6">
      <c r="B82" s="106"/>
      <c r="C82" s="103" t="s">
        <v>149</v>
      </c>
      <c r="D82" s="103" t="s">
        <v>144</v>
      </c>
      <c r="E82" s="111" cm="1">
        <f t="array" ref="E82">INDEX(N82:Q82,case_number)</f>
        <v>41640</v>
      </c>
      <c r="F82" s="111" cm="1">
        <f t="array" aca="1" ref="F82" ca="1">INDIRECT(sheet_name&amp;"!flange.A_cf")</f>
        <v>41640</v>
      </c>
      <c r="G82" s="118">
        <f t="shared" ca="1" si="5"/>
        <v>0</v>
      </c>
      <c r="I82" s="138"/>
      <c r="K82" s="106"/>
      <c r="L82" s="103" t="s">
        <v>149</v>
      </c>
      <c r="M82" s="103" t="s">
        <v>144</v>
      </c>
      <c r="N82" s="111">
        <v>41640</v>
      </c>
      <c r="O82" s="111">
        <v>41640</v>
      </c>
      <c r="P82" s="111">
        <v>41640</v>
      </c>
      <c r="Q82" s="111">
        <v>41640</v>
      </c>
      <c r="R82" t="s">
        <v>353</v>
      </c>
    </row>
    <row r="83" spans="2:18" ht="16.8">
      <c r="B83" s="106"/>
      <c r="C83" s="103" t="s">
        <v>148</v>
      </c>
      <c r="D83" s="103" t="s">
        <v>273</v>
      </c>
      <c r="E83" s="114" cm="1">
        <f t="array" ref="E83">INDEX(N83:Q83,case_number)</f>
        <v>49968000</v>
      </c>
      <c r="F83" s="114" cm="1">
        <f t="array" aca="1" ref="F83" ca="1">INDIRECT(sheet_name&amp;"!flange.I_cf")</f>
        <v>49967999.999999978</v>
      </c>
      <c r="G83" s="118">
        <f t="shared" ca="1" si="5"/>
        <v>-4.4732112133308286E-16</v>
      </c>
      <c r="I83" s="138"/>
      <c r="K83" s="106"/>
      <c r="L83" s="103" t="s">
        <v>148</v>
      </c>
      <c r="M83" s="103" t="s">
        <v>273</v>
      </c>
      <c r="N83" s="155">
        <v>49968000</v>
      </c>
      <c r="O83" s="155">
        <v>49968000</v>
      </c>
      <c r="P83" s="155">
        <v>49968000</v>
      </c>
      <c r="Q83" s="155">
        <v>49968000</v>
      </c>
      <c r="R83" t="s">
        <v>353</v>
      </c>
    </row>
    <row r="84" spans="2:18" ht="15.6">
      <c r="B84" s="106">
        <f>B79+1</f>
        <v>26</v>
      </c>
      <c r="C84" s="103" t="s">
        <v>155</v>
      </c>
      <c r="D84" s="103" t="s">
        <v>135</v>
      </c>
      <c r="E84" s="111" cm="1">
        <f t="array" ref="E84">INDEX(N84:Q84,case_number)</f>
        <v>5132.5220324686952</v>
      </c>
      <c r="F84" s="111" cm="1">
        <f t="array" aca="1" ref="F84" ca="1">INDIRECT(sheet_name&amp;"!gap.stiffness")</f>
        <v>5114.2497629796226</v>
      </c>
      <c r="G84" s="118">
        <f ca="1">(F84-E84)/E84</f>
        <v>-3.5600956748906248E-3</v>
      </c>
      <c r="I84" s="138"/>
      <c r="K84" s="106">
        <v>26</v>
      </c>
      <c r="L84" s="103" t="s">
        <v>155</v>
      </c>
      <c r="M84" s="103" t="s">
        <v>135</v>
      </c>
      <c r="N84" s="111">
        <v>12509.588586573547</v>
      </c>
      <c r="O84" s="111">
        <v>5132.5220324686952</v>
      </c>
      <c r="P84" s="111">
        <v>2858.837253401799</v>
      </c>
      <c r="Q84" s="111">
        <v>1845.2067054719205</v>
      </c>
      <c r="R84" t="s">
        <v>353</v>
      </c>
    </row>
    <row r="85" spans="2:18" ht="15.6">
      <c r="B85" s="106">
        <f>B84+1</f>
        <v>27</v>
      </c>
      <c r="C85" s="103" t="s">
        <v>152</v>
      </c>
      <c r="D85" s="103" t="s">
        <v>135</v>
      </c>
      <c r="E85" s="111" cm="1">
        <f t="array" ref="E85">INDEX(N85:Q85,case_number)</f>
        <v>2109.6947260088054</v>
      </c>
      <c r="F85" s="111" t="s">
        <v>86</v>
      </c>
      <c r="G85" s="111"/>
      <c r="H85" t="s">
        <v>154</v>
      </c>
      <c r="I85" s="138"/>
      <c r="K85" s="106">
        <v>27</v>
      </c>
      <c r="L85" s="103" t="s">
        <v>152</v>
      </c>
      <c r="M85" s="103" t="s">
        <v>135</v>
      </c>
      <c r="N85" s="111">
        <v>5024.4378496855643</v>
      </c>
      <c r="O85" s="111">
        <v>2109.6947260088054</v>
      </c>
      <c r="P85" s="111">
        <v>1109.7616916909765</v>
      </c>
      <c r="Q85" s="111">
        <v>621.90082075927228</v>
      </c>
      <c r="R85" t="s">
        <v>154</v>
      </c>
    </row>
    <row r="86" spans="2:18" ht="15.6">
      <c r="B86" s="106"/>
      <c r="C86" s="103" t="s">
        <v>152</v>
      </c>
      <c r="D86" s="103" t="s">
        <v>135</v>
      </c>
      <c r="E86" s="111" cm="1">
        <f t="array" ref="E86">INDEX(N86:Q86,case_number)</f>
        <v>2315.3579447505413</v>
      </c>
      <c r="F86" s="111" cm="1">
        <f t="array" aca="1" ref="F86" ca="1">INDIRECT(sheet_name&amp;"!gap.k_shell")</f>
        <v>2307.8784491005872</v>
      </c>
      <c r="G86" s="118">
        <f ca="1">(F86-E86)/E86</f>
        <v>-3.2303841688546813E-3</v>
      </c>
      <c r="H86" t="s">
        <v>153</v>
      </c>
      <c r="I86" s="138"/>
      <c r="K86" s="106"/>
      <c r="L86" s="103" t="s">
        <v>152</v>
      </c>
      <c r="M86" s="103" t="s">
        <v>135</v>
      </c>
      <c r="N86" s="111">
        <v>5412.5567691170891</v>
      </c>
      <c r="O86" s="111">
        <v>2315.3579447505413</v>
      </c>
      <c r="P86" s="111">
        <v>1295.9744913292504</v>
      </c>
      <c r="Q86" s="111">
        <v>837.62171686599117</v>
      </c>
      <c r="R86" t="s">
        <v>153</v>
      </c>
    </row>
    <row r="87" spans="2:18" ht="15.6">
      <c r="B87" s="106"/>
      <c r="C87" s="103" t="s">
        <v>152</v>
      </c>
      <c r="D87" s="103" t="s">
        <v>135</v>
      </c>
      <c r="E87" s="111" cm="1">
        <f t="array" ref="E87">INDEX(N87:Q87,case_number)</f>
        <v>2315.3579447505413</v>
      </c>
      <c r="F87" s="111" cm="1">
        <f t="array" aca="1" ref="F87" ca="1">INDIRECT(sheet_name&amp;"!gap.k_shell")</f>
        <v>2307.8784491005872</v>
      </c>
      <c r="G87" s="118">
        <f ca="1">(F87-E87)/E87</f>
        <v>-3.2303841688546813E-3</v>
      </c>
      <c r="H87" t="s">
        <v>151</v>
      </c>
      <c r="I87" s="138"/>
      <c r="K87" s="106"/>
      <c r="L87" s="103" t="s">
        <v>152</v>
      </c>
      <c r="M87" s="103" t="s">
        <v>135</v>
      </c>
      <c r="N87" s="111">
        <v>5412.5567691170891</v>
      </c>
      <c r="O87" s="111">
        <v>2315.3579447505413</v>
      </c>
      <c r="P87" s="111">
        <v>1295.9744913292504</v>
      </c>
      <c r="Q87" s="111">
        <v>837.62171686599117</v>
      </c>
      <c r="R87" t="s">
        <v>151</v>
      </c>
    </row>
    <row r="88" spans="2:18" ht="15.6">
      <c r="B88" s="106">
        <f>B85+1</f>
        <v>28</v>
      </c>
      <c r="C88" s="103" t="s">
        <v>150</v>
      </c>
      <c r="D88" s="103" t="s">
        <v>123</v>
      </c>
      <c r="E88" s="109" cm="1">
        <f t="array" ref="E88">INDEX(N88:Q88,case_number)</f>
        <v>2.1039084273123994</v>
      </c>
      <c r="F88" s="109" cm="1">
        <f t="array" aca="1" ref="F88" ca="1">INDIRECT(sheet_name&amp;"!gap.k_fac")</f>
        <v>2.0853981633974481</v>
      </c>
      <c r="G88" s="118">
        <f ca="1">(F88-E88)/E88</f>
        <v>-8.7980368701678063E-3</v>
      </c>
      <c r="I88" s="138"/>
      <c r="K88" s="106">
        <v>28</v>
      </c>
      <c r="L88" s="103" t="s">
        <v>150</v>
      </c>
      <c r="M88" s="103" t="s">
        <v>123</v>
      </c>
      <c r="N88" s="109">
        <v>1.8</v>
      </c>
      <c r="O88" s="109">
        <v>2.1039084273123994</v>
      </c>
      <c r="P88" s="109">
        <v>2.5058626409685996</v>
      </c>
      <c r="Q88" s="109">
        <v>2.9078168546247989</v>
      </c>
      <c r="R88" t="s">
        <v>353</v>
      </c>
    </row>
    <row r="89" spans="2:18" ht="15.6">
      <c r="B89" s="106">
        <f>B88+1</f>
        <v>29</v>
      </c>
      <c r="C89" s="103" t="s">
        <v>147</v>
      </c>
      <c r="D89" s="103" t="s">
        <v>135</v>
      </c>
      <c r="E89" s="107" cm="1">
        <f t="array" ref="E89">INDEX(N89:Q89,case_number)</f>
        <v>17.606615462501903</v>
      </c>
      <c r="F89" s="107" cm="1">
        <f t="array" aca="1" ref="F89" ca="1">INDIRECT(sheet_name&amp;"!gap.k_fl")</f>
        <v>16.780534071968088</v>
      </c>
      <c r="G89" s="118">
        <f ca="1">(F89-E89)/E89</f>
        <v>-4.691880687081406E-2</v>
      </c>
      <c r="I89" s="138"/>
      <c r="K89" s="106">
        <v>29</v>
      </c>
      <c r="L89" s="103" t="s">
        <v>147</v>
      </c>
      <c r="M89" s="103" t="s">
        <v>135</v>
      </c>
      <c r="N89" s="107">
        <v>273.61986114361406</v>
      </c>
      <c r="O89" s="107">
        <v>17.606615462501903</v>
      </c>
      <c r="P89" s="107">
        <v>3.496987489749126</v>
      </c>
      <c r="Q89" s="107">
        <v>1.108603803063507</v>
      </c>
      <c r="R89" t="s">
        <v>353</v>
      </c>
    </row>
    <row r="90" spans="2:18" ht="15.6">
      <c r="B90" s="106">
        <f>B89+1</f>
        <v>30</v>
      </c>
      <c r="C90" s="105" t="s">
        <v>146</v>
      </c>
      <c r="D90" s="103" t="s">
        <v>128</v>
      </c>
      <c r="E90" s="108" cm="1">
        <f t="array" ref="E90">INDEX(N90:Q90,case_number)</f>
        <v>350.65599450109528</v>
      </c>
      <c r="F90" s="108" cm="1">
        <f t="array" aca="1" ref="F90" ca="1">-INDIRECT(sheet_name&amp;"!DZ_gap_c")</f>
        <v>350.8849922237672</v>
      </c>
      <c r="G90" s="118">
        <f ca="1">(F90-E90)/E90</f>
        <v>6.5305520585134307E-4</v>
      </c>
      <c r="H90" t="s">
        <v>307</v>
      </c>
      <c r="I90" s="139"/>
      <c r="K90" s="106">
        <v>30</v>
      </c>
      <c r="L90" s="105" t="s">
        <v>146</v>
      </c>
      <c r="M90" s="103" t="s">
        <v>128</v>
      </c>
      <c r="N90" s="107">
        <v>335.20320343981064</v>
      </c>
      <c r="O90" s="107">
        <v>350.65599450109528</v>
      </c>
      <c r="P90" s="107">
        <v>356.36562694230469</v>
      </c>
      <c r="Q90" s="107">
        <v>358.16448272912311</v>
      </c>
      <c r="R90" t="s">
        <v>307</v>
      </c>
    </row>
    <row r="91" spans="2:18" ht="15.6">
      <c r="B91" s="106">
        <f>B90+1</f>
        <v>31</v>
      </c>
      <c r="C91" s="103" t="s">
        <v>142</v>
      </c>
      <c r="D91" s="103" t="s">
        <v>128</v>
      </c>
      <c r="E91" s="108" cm="1">
        <f t="array" ref="E91">INDEX(N91:Q91,case_number)</f>
        <v>202.04477233727212</v>
      </c>
      <c r="F91" s="108" cm="1">
        <f t="array" aca="1" ref="F91" ca="1">INDIRECT(sheet_name&amp;"!F_V_c")</f>
        <v>201.57068349663211</v>
      </c>
      <c r="G91" s="118">
        <f t="shared" ref="G91" ca="1" si="6">(F91-E91)/E91</f>
        <v>-2.3464543781841272E-3</v>
      </c>
      <c r="H91" t="s">
        <v>307</v>
      </c>
      <c r="I91" s="138"/>
      <c r="K91" s="106">
        <v>31</v>
      </c>
      <c r="L91" s="103" t="s">
        <v>142</v>
      </c>
      <c r="M91" s="103" t="s">
        <v>128</v>
      </c>
      <c r="N91" s="107">
        <v>234.03633851277746</v>
      </c>
      <c r="O91" s="107">
        <v>202.04477233727212</v>
      </c>
      <c r="P91" s="107">
        <v>190.22424856545982</v>
      </c>
      <c r="Q91" s="107">
        <v>186.50011784266937</v>
      </c>
      <c r="R91" t="s">
        <v>307</v>
      </c>
    </row>
    <row r="92" spans="2:18" ht="15.6">
      <c r="B92" s="106"/>
      <c r="C92" s="105" t="s">
        <v>141</v>
      </c>
      <c r="D92" s="103" t="s">
        <v>128</v>
      </c>
      <c r="E92" s="110" cm="1">
        <f t="array" ref="E92">INDEX(N92:Q92,case_number)</f>
        <v>341.35132096685624</v>
      </c>
      <c r="F92" s="110" cm="1">
        <f t="array" aca="1" ref="F92" ca="1">-INDIRECT(sheet_name&amp;"!DZ_gap_inclination")</f>
        <v>341.35132096685641</v>
      </c>
      <c r="G92" s="118">
        <f ca="1">IF(AND(E92=0,F92=0), 0, (F92-E92)/E92)</f>
        <v>4.9957403445637111E-16</v>
      </c>
      <c r="H92" t="s">
        <v>362</v>
      </c>
      <c r="I92" s="139"/>
      <c r="K92" s="106"/>
      <c r="L92" s="105" t="s">
        <v>141</v>
      </c>
      <c r="M92" s="103" t="s">
        <v>128</v>
      </c>
      <c r="N92" s="108">
        <v>341.35132096685624</v>
      </c>
      <c r="O92" s="108">
        <v>341.35132096685624</v>
      </c>
      <c r="P92" s="108">
        <v>341.35132096685624</v>
      </c>
      <c r="Q92" s="108">
        <v>341.35132096685624</v>
      </c>
      <c r="R92" t="s">
        <v>362</v>
      </c>
    </row>
    <row r="93" spans="2:18" ht="15.6">
      <c r="B93" s="106">
        <f>B91+1</f>
        <v>32</v>
      </c>
      <c r="C93" s="105" t="s">
        <v>140</v>
      </c>
      <c r="D93" s="103" t="s">
        <v>128</v>
      </c>
      <c r="E93" s="107" cm="1">
        <f t="array" ref="E93">INDEX(N93:Q93,case_number)</f>
        <v>1180.0339773502214</v>
      </c>
      <c r="F93" s="107" cm="1">
        <f t="array" aca="1" ref="F93" ca="1">-INDIRECT(sheet_name&amp;"!DZ_gap_tot")</f>
        <v>1178.5255534646958</v>
      </c>
      <c r="G93" s="107"/>
      <c r="I93" s="139"/>
      <c r="K93" s="106">
        <v>32</v>
      </c>
      <c r="L93" s="105" t="s">
        <v>140</v>
      </c>
      <c r="M93" s="103" t="s">
        <v>128</v>
      </c>
      <c r="N93" s="107">
        <v>1314.3249427758374</v>
      </c>
      <c r="O93" s="107">
        <v>1180.0339773502214</v>
      </c>
      <c r="P93" s="107">
        <v>1139.037208936943</v>
      </c>
      <c r="Q93" s="107">
        <v>1124.2610125505405</v>
      </c>
      <c r="R93" t="s">
        <v>353</v>
      </c>
    </row>
    <row r="94" spans="2:18" ht="15.6">
      <c r="B94" s="106">
        <f>B93+1</f>
        <v>33</v>
      </c>
      <c r="C94" s="103" t="s">
        <v>139</v>
      </c>
      <c r="D94" s="103" t="s">
        <v>128</v>
      </c>
      <c r="E94" s="107" cm="1">
        <f t="array" ref="E94">INDEX(N94:Q94,case_number)</f>
        <v>1160</v>
      </c>
      <c r="F94" s="107" t="s">
        <v>86</v>
      </c>
      <c r="G94" s="118"/>
      <c r="I94" s="138"/>
      <c r="K94" s="106">
        <v>33</v>
      </c>
      <c r="L94" s="103" t="s">
        <v>139</v>
      </c>
      <c r="M94" s="103" t="s">
        <v>128</v>
      </c>
      <c r="N94" s="107">
        <v>1160</v>
      </c>
      <c r="O94" s="107">
        <v>1160</v>
      </c>
      <c r="P94" s="107">
        <v>1160</v>
      </c>
      <c r="Q94" s="107">
        <v>1160</v>
      </c>
      <c r="R94" t="s">
        <v>353</v>
      </c>
    </row>
    <row r="95" spans="2:18" ht="15.6">
      <c r="B95" s="106">
        <f>B94+1</f>
        <v>34</v>
      </c>
      <c r="C95" s="103" t="s">
        <v>138</v>
      </c>
      <c r="D95" s="103" t="s">
        <v>128</v>
      </c>
      <c r="E95" s="108" cm="1">
        <f t="array" ref="E95">INDEX(N95:Q95,case_number)</f>
        <v>2320</v>
      </c>
      <c r="F95" s="108" cm="1">
        <f t="array" aca="1" ref="F95" ca="1">INDIRECT(sheet_name&amp;"!Z0")</f>
        <v>2320</v>
      </c>
      <c r="G95" s="118">
        <f ca="1">(F95-E95)/E95</f>
        <v>0</v>
      </c>
      <c r="H95" t="s">
        <v>308</v>
      </c>
      <c r="I95" s="138"/>
      <c r="K95" s="106">
        <v>34</v>
      </c>
      <c r="L95" s="103" t="s">
        <v>138</v>
      </c>
      <c r="M95" s="103" t="s">
        <v>128</v>
      </c>
      <c r="N95" s="107">
        <v>2320</v>
      </c>
      <c r="O95" s="107">
        <v>2320</v>
      </c>
      <c r="P95" s="107">
        <v>2320</v>
      </c>
      <c r="Q95" s="107">
        <v>2320</v>
      </c>
      <c r="R95" t="s">
        <v>308</v>
      </c>
    </row>
    <row r="96" spans="2:18" ht="15.6">
      <c r="B96" s="106">
        <f>B95+1</f>
        <v>35</v>
      </c>
      <c r="C96" s="103" t="s">
        <v>138</v>
      </c>
      <c r="D96" s="103" t="s">
        <v>128</v>
      </c>
      <c r="E96" s="110" cm="1">
        <f t="array" ref="E96">INDEX(N96:Q96,case_number)</f>
        <v>2320</v>
      </c>
      <c r="F96" s="110" t="s">
        <v>86</v>
      </c>
      <c r="G96" s="104"/>
      <c r="H96" t="s">
        <v>307</v>
      </c>
      <c r="I96" s="138"/>
      <c r="K96" s="106">
        <v>35</v>
      </c>
      <c r="L96" s="103" t="s">
        <v>138</v>
      </c>
      <c r="M96" s="103" t="s">
        <v>128</v>
      </c>
      <c r="N96" s="108">
        <v>2320</v>
      </c>
      <c r="O96" s="108">
        <v>2320</v>
      </c>
      <c r="P96" s="108">
        <v>2320</v>
      </c>
      <c r="Q96" s="108">
        <v>2320</v>
      </c>
      <c r="R96" t="s">
        <v>307</v>
      </c>
    </row>
    <row r="97" spans="2:18" ht="15.6">
      <c r="B97" s="106">
        <f>B96+1</f>
        <v>36</v>
      </c>
      <c r="C97" s="105" t="s">
        <v>137</v>
      </c>
      <c r="D97" s="103" t="s">
        <v>123</v>
      </c>
      <c r="E97" s="109" cm="1">
        <f t="array" ref="E97">INDEX(N97:Q97,case_number)</f>
        <v>1.0390573527403195</v>
      </c>
      <c r="F97" s="109" cm="1">
        <f t="array" aca="1" ref="F97" ca="1">INDIRECT(sheet_name&amp;"!stiffness_correction_factor")</f>
        <v>1.0388819485990615</v>
      </c>
      <c r="G97" s="118">
        <f ca="1">(F97-E97)/E97</f>
        <v>-1.688108368565559E-4</v>
      </c>
      <c r="I97" s="139"/>
      <c r="K97" s="106">
        <v>36</v>
      </c>
      <c r="L97" s="105" t="s">
        <v>137</v>
      </c>
      <c r="M97" s="103" t="s">
        <v>123</v>
      </c>
      <c r="N97" s="109">
        <v>1.103668995795716</v>
      </c>
      <c r="O97" s="109">
        <v>1.0390573527403195</v>
      </c>
      <c r="P97" s="109">
        <v>1.0212142563035864</v>
      </c>
      <c r="Q97" s="109">
        <v>1.0135727719280927</v>
      </c>
      <c r="R97" t="s">
        <v>353</v>
      </c>
    </row>
    <row r="98" spans="2:18">
      <c r="B98" s="106"/>
      <c r="C98" s="105" t="s">
        <v>272</v>
      </c>
      <c r="D98" s="103" t="s">
        <v>126</v>
      </c>
      <c r="E98" s="107" cm="1">
        <f t="array" ref="E98">INDEX(N98:Q98,case_number)</f>
        <v>116.39600781550183</v>
      </c>
      <c r="F98" s="107" t="s">
        <v>86</v>
      </c>
      <c r="G98" s="118"/>
      <c r="I98" s="139"/>
      <c r="K98" s="106"/>
      <c r="L98" s="105" t="s">
        <v>272</v>
      </c>
      <c r="M98" s="103" t="s">
        <v>126</v>
      </c>
      <c r="N98" s="107">
        <v>116.39600781550183</v>
      </c>
      <c r="O98" s="107">
        <v>116.39600781550183</v>
      </c>
      <c r="P98" s="107">
        <v>116.39600781550183</v>
      </c>
      <c r="Q98" s="107">
        <v>116.39600781550183</v>
      </c>
      <c r="R98" t="s">
        <v>353</v>
      </c>
    </row>
    <row r="99" spans="2:18" ht="15.6">
      <c r="B99" s="106">
        <f>B97+1</f>
        <v>37</v>
      </c>
      <c r="C99" s="103" t="s">
        <v>136</v>
      </c>
      <c r="D99" s="103" t="s">
        <v>135</v>
      </c>
      <c r="E99" s="107" cm="1">
        <f t="array" ref="E99">INDEX(N99:Q99,case_number)</f>
        <v>131409.87989107383</v>
      </c>
      <c r="F99" s="107" cm="1">
        <f t="array" aca="1" ref="F99" ca="1">INDIRECT(sheet_name&amp;"!k_seg")</f>
        <v>131532.7535591429</v>
      </c>
      <c r="G99" s="118">
        <f ca="1">(F99-E99)/E99</f>
        <v>9.3504132391665376E-4</v>
      </c>
      <c r="I99" s="138"/>
      <c r="K99" s="106">
        <v>37</v>
      </c>
      <c r="L99" s="103" t="s">
        <v>136</v>
      </c>
      <c r="M99" s="103" t="s">
        <v>135</v>
      </c>
      <c r="N99" s="107">
        <v>120668.56142046778</v>
      </c>
      <c r="O99" s="107">
        <v>131409.87989107383</v>
      </c>
      <c r="P99" s="107">
        <v>134760.19203739511</v>
      </c>
      <c r="Q99" s="107">
        <v>135949.14253681077</v>
      </c>
      <c r="R99" t="s">
        <v>353</v>
      </c>
    </row>
    <row r="100" spans="2:18" ht="15.6">
      <c r="B100" s="106">
        <f>B99+1</f>
        <v>38</v>
      </c>
      <c r="C100" s="103" t="s">
        <v>134</v>
      </c>
      <c r="D100" s="103" t="s">
        <v>128</v>
      </c>
      <c r="E100" s="111" cm="1">
        <f t="array" ref="E100">INDEX(N100:Q100,case_number)</f>
        <v>1831.9733381177298</v>
      </c>
      <c r="F100" s="111" cm="1">
        <f t="array" aca="1" ref="F100" ca="1">ROUND(INDIRECT(sheet_name&amp;"!Z_2_td"),0)</f>
        <v>1834</v>
      </c>
      <c r="G100" s="118">
        <f ca="1">(F100-E100)/E100</f>
        <v>1.1062725860151014E-3</v>
      </c>
      <c r="I100" s="138"/>
      <c r="K100" s="106">
        <v>38</v>
      </c>
      <c r="L100" s="103" t="s">
        <v>134</v>
      </c>
      <c r="M100" s="103" t="s">
        <v>128</v>
      </c>
      <c r="N100" s="111">
        <v>1682.2295816308297</v>
      </c>
      <c r="O100" s="111">
        <v>1831.9733381177298</v>
      </c>
      <c r="P100" s="111">
        <v>1878.6797389722178</v>
      </c>
      <c r="Q100" s="111">
        <v>1895.254791145439</v>
      </c>
      <c r="R100" t="s">
        <v>353</v>
      </c>
    </row>
    <row r="101" spans="2:18">
      <c r="B101" s="106">
        <f>B100+1</f>
        <v>39</v>
      </c>
      <c r="C101" s="103" t="s">
        <v>1</v>
      </c>
      <c r="D101" s="103" t="s">
        <v>126</v>
      </c>
      <c r="E101" s="109" cm="1">
        <f t="array" ref="E101">INDEX(N101:Q101,case_number)</f>
        <v>0.11977137777930504</v>
      </c>
      <c r="F101" s="109" cm="1">
        <f t="array" aca="1" ref="F101" ca="1">INDIRECT(sheet_name&amp;"!u")</f>
        <v>0.11977297484086973</v>
      </c>
      <c r="G101" s="118">
        <f ca="1">(F101-E101)/E101</f>
        <v>1.3334250588923367E-5</v>
      </c>
      <c r="H101" t="s">
        <v>308</v>
      </c>
      <c r="I101" s="138"/>
      <c r="K101" s="106">
        <v>39</v>
      </c>
      <c r="L101" s="103" t="s">
        <v>1</v>
      </c>
      <c r="M101" s="103" t="s">
        <v>126</v>
      </c>
      <c r="N101" s="109">
        <v>0.11977137777930504</v>
      </c>
      <c r="O101" s="109">
        <v>0.11977137777930504</v>
      </c>
      <c r="P101" s="109">
        <v>0.11977137777930504</v>
      </c>
      <c r="Q101" s="109">
        <v>0.11977137777930504</v>
      </c>
      <c r="R101" t="s">
        <v>353</v>
      </c>
    </row>
    <row r="102" spans="2:18">
      <c r="B102" s="106">
        <f>B101+1</f>
        <v>40</v>
      </c>
      <c r="C102" s="103" t="s">
        <v>1</v>
      </c>
      <c r="D102" s="103" t="s">
        <v>126</v>
      </c>
      <c r="E102" s="110" cm="1">
        <f t="array" ref="E102">INDEX(N102:Q102,case_number)</f>
        <v>0.11977137777930504</v>
      </c>
      <c r="F102" s="104"/>
      <c r="G102" s="104"/>
      <c r="H102" t="s">
        <v>307</v>
      </c>
      <c r="I102" s="138"/>
      <c r="K102" s="106">
        <v>40</v>
      </c>
      <c r="L102" s="103" t="s">
        <v>1</v>
      </c>
      <c r="M102" s="103" t="s">
        <v>126</v>
      </c>
      <c r="N102" s="109">
        <v>0.11977137777930504</v>
      </c>
      <c r="O102" s="109">
        <v>0.11977137777930504</v>
      </c>
      <c r="P102" s="109">
        <v>0.11977137777930504</v>
      </c>
      <c r="Q102" s="109">
        <v>0.11977137777930504</v>
      </c>
      <c r="R102" t="s">
        <v>307</v>
      </c>
    </row>
    <row r="103" spans="2:18" ht="15.6">
      <c r="B103" s="106"/>
      <c r="C103" s="103" t="s">
        <v>133</v>
      </c>
      <c r="D103" s="103" t="s">
        <v>128</v>
      </c>
      <c r="E103" s="110" cm="1">
        <f t="array" ref="E103">INDEX(N103:Q103,case_number)</f>
        <v>16280</v>
      </c>
      <c r="F103" s="110" t="s">
        <v>86</v>
      </c>
      <c r="G103" s="110"/>
      <c r="I103" s="138"/>
      <c r="K103" s="106"/>
      <c r="L103" s="103" t="s">
        <v>133</v>
      </c>
      <c r="M103" s="103" t="s">
        <v>128</v>
      </c>
      <c r="N103" s="110">
        <v>16280</v>
      </c>
      <c r="O103" s="110">
        <v>16280</v>
      </c>
      <c r="P103" s="110">
        <v>16280</v>
      </c>
      <c r="Q103" s="110">
        <v>16280</v>
      </c>
      <c r="R103" t="s">
        <v>353</v>
      </c>
    </row>
    <row r="104" spans="2:18" ht="15.6">
      <c r="B104" s="106">
        <f>B102+1</f>
        <v>41</v>
      </c>
      <c r="C104" s="105" t="s">
        <v>132</v>
      </c>
      <c r="D104" s="103" t="s">
        <v>128</v>
      </c>
      <c r="E104" s="107" cm="1">
        <f t="array" ref="E104">INDEX(N104:Q104,case_number)</f>
        <v>-81.400000000000006</v>
      </c>
      <c r="F104" s="107" cm="1">
        <f t="array" aca="1" ref="F104" ca="1">INDIRECT(sheet_name&amp;"!Z_dw")</f>
        <v>-81.400000000000006</v>
      </c>
      <c r="G104" s="118">
        <f ca="1">(F104-E104)/E104</f>
        <v>0</v>
      </c>
      <c r="I104" s="139"/>
      <c r="K104" s="106">
        <v>41</v>
      </c>
      <c r="L104" s="105" t="s">
        <v>132</v>
      </c>
      <c r="M104" s="103" t="s">
        <v>128</v>
      </c>
      <c r="N104" s="107">
        <v>-81.400000000000006</v>
      </c>
      <c r="O104" s="107">
        <v>-81.400000000000006</v>
      </c>
      <c r="P104" s="107">
        <v>-81.400000000000006</v>
      </c>
      <c r="Q104" s="107">
        <v>-81.400000000000006</v>
      </c>
      <c r="R104" t="s">
        <v>353</v>
      </c>
    </row>
    <row r="105" spans="2:18">
      <c r="B105" s="106">
        <f t="shared" ref="B105:B112" si="7">B104+1</f>
        <v>42</v>
      </c>
      <c r="D105" s="103"/>
      <c r="E105" s="110"/>
      <c r="F105" s="104"/>
      <c r="G105" s="104"/>
      <c r="K105" s="106">
        <v>42</v>
      </c>
      <c r="M105" s="103"/>
      <c r="N105" s="104"/>
      <c r="O105" s="104"/>
      <c r="P105" s="104"/>
      <c r="Q105" s="104"/>
      <c r="R105" t="s">
        <v>353</v>
      </c>
    </row>
    <row r="106" spans="2:18" ht="15.6">
      <c r="B106" s="106">
        <f t="shared" si="7"/>
        <v>43</v>
      </c>
      <c r="C106" s="103" t="s">
        <v>131</v>
      </c>
      <c r="D106" s="103" t="s">
        <v>128</v>
      </c>
      <c r="E106" s="107" cm="1">
        <f t="array" ref="E106">INDEX(N106:Q106,case_number)</f>
        <v>-1261.4339773502215</v>
      </c>
      <c r="F106" s="107" cm="1">
        <f t="array" aca="1" ref="F106" ca="1">INDIRECT(sheet_name&amp;"!point4.Z")</f>
        <v>-1259.9255534646959</v>
      </c>
      <c r="G106" s="118">
        <f ca="1">(F106-E106)/E106</f>
        <v>-1.1958009000948681E-3</v>
      </c>
      <c r="I106" s="103"/>
      <c r="K106" s="106">
        <v>43</v>
      </c>
      <c r="L106" s="103" t="s">
        <v>131</v>
      </c>
      <c r="M106" s="103" t="s">
        <v>128</v>
      </c>
      <c r="N106" s="107">
        <v>-1395.7249427758375</v>
      </c>
      <c r="O106" s="107">
        <v>-1261.4339773502215</v>
      </c>
      <c r="P106" s="107">
        <v>-1220.4372089369431</v>
      </c>
      <c r="Q106" s="107">
        <v>-1205.6610125505406</v>
      </c>
      <c r="R106" t="s">
        <v>353</v>
      </c>
    </row>
    <row r="107" spans="2:18" ht="15.6">
      <c r="B107" s="106">
        <f t="shared" si="7"/>
        <v>44</v>
      </c>
      <c r="C107" s="105" t="s">
        <v>130</v>
      </c>
      <c r="D107" s="103" t="s">
        <v>123</v>
      </c>
      <c r="E107" s="113" cm="1">
        <f t="array" ref="E107">INDEX(N107:Q107,case_number)</f>
        <v>3.4168013081627702E-2</v>
      </c>
      <c r="F107" s="113" cm="1">
        <f t="array" aca="1" ref="F107" ca="1">INDIRECT(sheet_name&amp;"!true_force_initial_slope")</f>
        <v>5.2832960278503753E-2</v>
      </c>
      <c r="G107" s="118">
        <f ca="1">(F107-E107)/E107</f>
        <v>0.54626961047706579</v>
      </c>
      <c r="H107" t="s">
        <v>361</v>
      </c>
      <c r="I107" s="105"/>
      <c r="K107" s="106">
        <v>44</v>
      </c>
      <c r="L107" s="105" t="s">
        <v>130</v>
      </c>
      <c r="M107" s="103" t="s">
        <v>123</v>
      </c>
      <c r="N107" s="109">
        <v>2.8779540618872307E-2</v>
      </c>
      <c r="O107" s="109">
        <v>3.4168013081627702E-2</v>
      </c>
      <c r="P107" s="109">
        <v>3.5485198528706151E-2</v>
      </c>
      <c r="Q107" s="109">
        <v>3.58752733529875E-2</v>
      </c>
      <c r="R107" t="s">
        <v>353</v>
      </c>
    </row>
    <row r="108" spans="2:18" ht="15.6">
      <c r="B108" s="106">
        <f t="shared" si="7"/>
        <v>45</v>
      </c>
      <c r="C108" s="103" t="s">
        <v>129</v>
      </c>
      <c r="D108" s="103" t="s">
        <v>128</v>
      </c>
      <c r="E108" s="108" cm="1">
        <f t="array" ref="E108">INDEX(N108:Q108,case_number)</f>
        <v>907.84029181256631</v>
      </c>
      <c r="F108" s="108" cm="1">
        <f t="array" aca="1" ref="F108" ca="1">INDIRECT(sheet_name&amp;"!point4.Fs")</f>
        <v>896.86750312329912</v>
      </c>
      <c r="G108" s="118">
        <f ca="1">(F108-E108)/E108</f>
        <v>-1.2086694970719195E-2</v>
      </c>
      <c r="I108" s="103"/>
      <c r="K108" s="106">
        <v>45</v>
      </c>
      <c r="L108" s="103" t="s">
        <v>129</v>
      </c>
      <c r="M108" s="103" t="s">
        <v>128</v>
      </c>
      <c r="N108" s="108">
        <v>909.08716596149281</v>
      </c>
      <c r="O108" s="108">
        <v>907.84029181256631</v>
      </c>
      <c r="P108" s="108">
        <v>907.79051925464455</v>
      </c>
      <c r="Q108" s="108">
        <v>907.83341442732149</v>
      </c>
      <c r="R108" t="s">
        <v>353</v>
      </c>
    </row>
    <row r="109" spans="2:18" ht="15.6">
      <c r="B109" s="106">
        <f t="shared" si="7"/>
        <v>46</v>
      </c>
      <c r="C109" s="105" t="s">
        <v>127</v>
      </c>
      <c r="D109" s="103" t="s">
        <v>123</v>
      </c>
      <c r="E109" s="110" cm="1">
        <f t="array" ref="E109">INDEX(N109:Q109,case_number)</f>
        <v>5.7942415955899607E-2</v>
      </c>
      <c r="F109" s="104"/>
      <c r="G109" s="104"/>
      <c r="H109" t="s">
        <v>308</v>
      </c>
      <c r="I109" s="105"/>
      <c r="K109" s="106">
        <v>46</v>
      </c>
      <c r="L109" s="105" t="s">
        <v>127</v>
      </c>
      <c r="M109" s="103" t="s">
        <v>123</v>
      </c>
      <c r="N109" s="113">
        <v>5.7942415955899607E-2</v>
      </c>
      <c r="O109" s="113">
        <v>5.7942415955899607E-2</v>
      </c>
      <c r="P109" s="113">
        <v>5.7942415955899607E-2</v>
      </c>
      <c r="Q109" s="113">
        <v>5.7942415955899607E-2</v>
      </c>
      <c r="R109" t="s">
        <v>308</v>
      </c>
    </row>
    <row r="110" spans="2:18" ht="15.6">
      <c r="B110" s="106">
        <f t="shared" si="7"/>
        <v>47</v>
      </c>
      <c r="C110" s="105" t="s">
        <v>127</v>
      </c>
      <c r="D110" s="103" t="s">
        <v>123</v>
      </c>
      <c r="E110" s="110" cm="1">
        <f t="array" ref="E110">INDEX(N110:Q110,case_number)</f>
        <v>5.7942415955899607E-2</v>
      </c>
      <c r="F110" s="104" cm="1">
        <f t="array" aca="1" ref="F110" ca="1">INDIRECT(sheet_name&amp;"!polynomial_initial_slope")</f>
        <v>7.3583850012025387E-2</v>
      </c>
      <c r="G110" s="118">
        <f ca="1">(F110-E110)/E110</f>
        <v>0.26994790945601216</v>
      </c>
      <c r="H110" t="s">
        <v>307</v>
      </c>
      <c r="I110" s="105"/>
      <c r="K110" s="106">
        <v>47</v>
      </c>
      <c r="L110" s="105" t="s">
        <v>127</v>
      </c>
      <c r="M110" s="103" t="s">
        <v>123</v>
      </c>
      <c r="N110" s="113">
        <v>5.7942415955899607E-2</v>
      </c>
      <c r="O110" s="113">
        <v>5.7942415955899607E-2</v>
      </c>
      <c r="P110" s="113">
        <v>5.7942415955899607E-2</v>
      </c>
      <c r="Q110" s="113">
        <v>5.7942415955899607E-2</v>
      </c>
      <c r="R110" t="s">
        <v>307</v>
      </c>
    </row>
    <row r="111" spans="2:18" ht="15.6">
      <c r="B111" s="106">
        <f t="shared" si="7"/>
        <v>48</v>
      </c>
      <c r="C111" s="105" t="s">
        <v>125</v>
      </c>
      <c r="D111" s="103" t="s">
        <v>121</v>
      </c>
      <c r="E111" s="128"/>
      <c r="F111" s="128"/>
      <c r="G111" s="128"/>
      <c r="H111" t="s">
        <v>271</v>
      </c>
      <c r="I111" s="105"/>
      <c r="K111" s="106">
        <v>48</v>
      </c>
      <c r="L111" s="105" t="s">
        <v>125</v>
      </c>
      <c r="M111" s="103" t="s">
        <v>121</v>
      </c>
      <c r="N111" s="128"/>
      <c r="O111" s="128"/>
      <c r="P111" s="128"/>
      <c r="Q111" s="128"/>
      <c r="R111" t="s">
        <v>271</v>
      </c>
    </row>
    <row r="112" spans="2:18">
      <c r="B112" s="106">
        <f t="shared" si="7"/>
        <v>49</v>
      </c>
      <c r="C112" s="105" t="s">
        <v>2</v>
      </c>
      <c r="D112" s="103" t="s">
        <v>126</v>
      </c>
      <c r="E112" s="107" cm="1">
        <f t="array" ref="E112">INDEX(N112:Q112,case_number)</f>
        <v>31.25</v>
      </c>
      <c r="F112" s="107" cm="1">
        <f t="array" aca="1" ref="F112" ca="1">INDIRECT(sheet_name&amp;"!a_star")</f>
        <v>31.250000000000007</v>
      </c>
      <c r="G112" s="118">
        <f ca="1">(F112-E112)/E112</f>
        <v>2.2737367544323206E-16</v>
      </c>
      <c r="I112" s="105"/>
      <c r="K112" s="106">
        <v>49</v>
      </c>
      <c r="L112" s="105" t="s">
        <v>2</v>
      </c>
      <c r="M112" s="103" t="s">
        <v>126</v>
      </c>
      <c r="N112" s="107">
        <v>31.25</v>
      </c>
      <c r="O112" s="107">
        <v>31.25</v>
      </c>
      <c r="P112" s="107">
        <v>31.25</v>
      </c>
      <c r="Q112" s="107">
        <v>31.25</v>
      </c>
      <c r="R112" t="s">
        <v>353</v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8.6870984986007647E-9</v>
      </c>
      <c r="F113" s="114" cm="1">
        <f t="array" aca="1" ref="F113" ca="1">1/(INDIRECT(sheet_name&amp;"!bolt.bending_stiffness")*1000000)</f>
        <v>8.6873267314791757E-9</v>
      </c>
      <c r="G113" s="118">
        <f ca="1">(F113-E113)/E113</f>
        <v>2.6272624679890713E-5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8.6870984986007647E-9</v>
      </c>
      <c r="O113" s="114">
        <v>8.6870984986007647E-9</v>
      </c>
      <c r="P113" s="114">
        <v>8.6870984986007647E-9</v>
      </c>
      <c r="Q113" s="114">
        <v>8.6870984986007647E-9</v>
      </c>
      <c r="R113" t="s">
        <v>270</v>
      </c>
    </row>
    <row r="114" spans="2:18" ht="15.6">
      <c r="B114" s="106">
        <f>B112+1</f>
        <v>50</v>
      </c>
      <c r="C114" s="105" t="s">
        <v>125</v>
      </c>
      <c r="D114" s="103" t="s">
        <v>121</v>
      </c>
      <c r="E114" s="128"/>
      <c r="F114" s="128"/>
      <c r="G114" s="128"/>
      <c r="H114" t="s">
        <v>267</v>
      </c>
      <c r="I114" s="105"/>
      <c r="K114" s="106">
        <v>50</v>
      </c>
      <c r="L114" s="105" t="s">
        <v>125</v>
      </c>
      <c r="M114" s="103" t="s">
        <v>121</v>
      </c>
      <c r="N114" s="128"/>
      <c r="O114" s="128"/>
      <c r="P114" s="128"/>
      <c r="Q114" s="128"/>
      <c r="R114" t="s">
        <v>267</v>
      </c>
    </row>
    <row r="115" spans="2:18" ht="15.6">
      <c r="B115" s="106">
        <f>B114+1</f>
        <v>51</v>
      </c>
      <c r="C115" s="105" t="s">
        <v>266</v>
      </c>
      <c r="D115" s="103" t="s">
        <v>123</v>
      </c>
      <c r="E115" s="128"/>
      <c r="F115" s="128"/>
      <c r="G115" s="128"/>
      <c r="H115" t="s">
        <v>265</v>
      </c>
      <c r="I115" s="105"/>
      <c r="K115" s="106">
        <v>51</v>
      </c>
      <c r="L115" s="105" t="s">
        <v>266</v>
      </c>
      <c r="M115" s="103" t="s">
        <v>123</v>
      </c>
      <c r="N115" s="128"/>
      <c r="O115" s="128"/>
      <c r="P115" s="128"/>
      <c r="Q115" s="128"/>
      <c r="R115" t="s">
        <v>265</v>
      </c>
    </row>
    <row r="116" spans="2:18" ht="15.6">
      <c r="B116" s="106">
        <f>B115+1</f>
        <v>52</v>
      </c>
      <c r="C116" s="105" t="s">
        <v>264</v>
      </c>
      <c r="D116" s="103" t="s">
        <v>123</v>
      </c>
      <c r="E116" s="128"/>
      <c r="F116" s="128"/>
      <c r="G116" s="128"/>
      <c r="H116" t="s">
        <v>265</v>
      </c>
      <c r="I116" s="105"/>
      <c r="K116" s="106">
        <v>52</v>
      </c>
      <c r="L116" s="105" t="s">
        <v>264</v>
      </c>
      <c r="M116" s="103" t="s">
        <v>123</v>
      </c>
      <c r="N116" s="128"/>
      <c r="O116" s="128"/>
      <c r="P116" s="128"/>
      <c r="Q116" s="128"/>
      <c r="R116" t="s">
        <v>265</v>
      </c>
    </row>
    <row r="117" spans="2:18" ht="15.6">
      <c r="B117" s="106">
        <f>B116+1</f>
        <v>53</v>
      </c>
      <c r="C117" s="105" t="s">
        <v>124</v>
      </c>
      <c r="D117" s="103" t="s">
        <v>123</v>
      </c>
      <c r="E117" s="152" cm="1">
        <f t="array" ref="E117">INDEX(N117:Q117,case_number)</f>
        <v>0.44285505552774068</v>
      </c>
      <c r="F117" s="113" t="s">
        <v>86</v>
      </c>
      <c r="G117" s="118" t="s">
        <v>86</v>
      </c>
      <c r="H117" t="s">
        <v>308</v>
      </c>
      <c r="I117" s="105"/>
      <c r="K117" s="106">
        <v>53</v>
      </c>
      <c r="L117" s="105" t="s">
        <v>124</v>
      </c>
      <c r="M117" s="103" t="s">
        <v>123</v>
      </c>
      <c r="N117" s="109">
        <v>0.41692917296503634</v>
      </c>
      <c r="O117" s="109">
        <v>0.44285505552774068</v>
      </c>
      <c r="P117" s="109">
        <v>0.45059281027849069</v>
      </c>
      <c r="Q117" s="109">
        <v>0.45398990027041203</v>
      </c>
      <c r="R117" t="s">
        <v>308</v>
      </c>
    </row>
    <row r="118" spans="2:18" ht="15.6">
      <c r="C118" s="105" t="s">
        <v>124</v>
      </c>
      <c r="D118" s="103" t="s">
        <v>123</v>
      </c>
      <c r="E118" s="152" cm="1">
        <f t="array" ref="E118">INDEX(N118:Q118,case_number)</f>
        <v>-6.0851174556128661E-3</v>
      </c>
      <c r="F118" s="109" cm="1">
        <f t="array" aca="1" ref="F118" ca="1">INDIRECT(sheet_name&amp;"!true_moment_initial_slope")</f>
        <v>0.16052112588220141</v>
      </c>
      <c r="G118" s="118">
        <f ca="1">(F118-E118)/E118</f>
        <v>-27.379297861233219</v>
      </c>
      <c r="H118" t="s">
        <v>307</v>
      </c>
      <c r="L118" s="105" t="s">
        <v>124</v>
      </c>
      <c r="M118" s="103" t="s">
        <v>123</v>
      </c>
      <c r="N118" s="114">
        <v>-1.0656586696054782E-2</v>
      </c>
      <c r="O118" s="114">
        <v>-6.0851174556128661E-3</v>
      </c>
      <c r="P118" s="114">
        <v>-4.952120449693855E-3</v>
      </c>
      <c r="Q118" s="114">
        <v>-4.6588933170920582E-3</v>
      </c>
      <c r="R118" t="s">
        <v>307</v>
      </c>
    </row>
    <row r="119" spans="2:18" ht="15.6">
      <c r="B119" s="106">
        <f>B117+1</f>
        <v>54</v>
      </c>
      <c r="C119" s="105" t="s">
        <v>122</v>
      </c>
      <c r="D119" s="103" t="s">
        <v>121</v>
      </c>
      <c r="E119" s="153" cm="1">
        <f t="array" ref="E119">INDEX(N119:Q119,case_number)</f>
        <v>-297.34040780199268</v>
      </c>
      <c r="F119" s="108" t="s">
        <v>86</v>
      </c>
      <c r="G119" s="118" t="s">
        <v>86</v>
      </c>
      <c r="H119" t="s">
        <v>308</v>
      </c>
      <c r="I119" s="105"/>
      <c r="K119" s="106">
        <v>54</v>
      </c>
      <c r="L119" s="105" t="s">
        <v>122</v>
      </c>
      <c r="M119" s="103" t="s">
        <v>121</v>
      </c>
      <c r="N119" s="108">
        <v>-307.92824037879035</v>
      </c>
      <c r="O119" s="108">
        <v>-297.34040780199268</v>
      </c>
      <c r="P119" s="108">
        <v>-293.29924325001247</v>
      </c>
      <c r="Q119" s="108">
        <v>-292.15635036487652</v>
      </c>
      <c r="R119" t="s">
        <v>308</v>
      </c>
    </row>
    <row r="120" spans="2:18" ht="15.6">
      <c r="C120" s="105" t="s">
        <v>122</v>
      </c>
      <c r="D120" s="103" t="s">
        <v>121</v>
      </c>
      <c r="E120" s="153" cm="1">
        <f t="array" ref="E120">INDEX(N120:Q120,case_number)</f>
        <v>3.5903226768950556</v>
      </c>
      <c r="F120" s="109" cm="1">
        <f t="array" aca="1" ref="F120" ca="1">INDIRECT(sheet_name&amp;"!point4.Ms")</f>
        <v>-106.21935475653824</v>
      </c>
      <c r="G120" s="118">
        <f ca="1">(F120-E120)/E120</f>
        <v>-30.584904844373966</v>
      </c>
      <c r="H120" t="s">
        <v>307</v>
      </c>
      <c r="L120" s="105" t="s">
        <v>122</v>
      </c>
      <c r="M120" s="103" t="s">
        <v>121</v>
      </c>
      <c r="N120" s="108">
        <v>7.0031088497389762</v>
      </c>
      <c r="O120" s="108">
        <v>3.5903226768950556</v>
      </c>
      <c r="P120" s="108">
        <v>2.8203247276694237</v>
      </c>
      <c r="Q120" s="108">
        <v>2.6189060590194324</v>
      </c>
      <c r="R120" t="s">
        <v>307</v>
      </c>
    </row>
    <row r="121" spans="2:18" ht="15.6">
      <c r="C121" s="105" t="s">
        <v>337</v>
      </c>
      <c r="D121" s="103" t="s">
        <v>128</v>
      </c>
      <c r="E121" s="153" cm="1">
        <f t="array" ref="E121">INDEX(N121:Q121,case_number)</f>
        <v>-81.300000000000011</v>
      </c>
      <c r="F121" s="109" cm="1">
        <f t="array" aca="1" ref="F121" ca="1">-INDIRECT(sheet_name&amp;"!DZdwDZ")</f>
        <v>81.3</v>
      </c>
      <c r="G121" s="118">
        <f t="shared" ref="G121:G127" ca="1" si="8">(F121-E121)/E121</f>
        <v>-2</v>
      </c>
      <c r="H121" s="150" t="s">
        <v>332</v>
      </c>
      <c r="L121" s="105" t="s">
        <v>337</v>
      </c>
      <c r="M121" s="103" t="s">
        <v>128</v>
      </c>
      <c r="N121" s="109">
        <v>-81.300000000000011</v>
      </c>
      <c r="O121" s="109">
        <v>-81.300000000000011</v>
      </c>
      <c r="P121" s="109">
        <v>-81.300000000000011</v>
      </c>
      <c r="Q121" s="109">
        <v>-81.300000000000011</v>
      </c>
    </row>
    <row r="122" spans="2:18" ht="16.2">
      <c r="C122" s="151" t="s">
        <v>338</v>
      </c>
      <c r="D122" s="103" t="s">
        <v>121</v>
      </c>
      <c r="E122" s="153" cm="1">
        <f t="array" ref="E122">INDEX(N122:Q122,case_number)</f>
        <v>0</v>
      </c>
      <c r="F122" s="109" cm="1">
        <f t="array" aca="1" ref="F122" ca="1">INDIRECT(sheet_name&amp;"!MZTlow1")</f>
        <v>0</v>
      </c>
      <c r="G122" s="118" t="e">
        <f t="shared" ca="1" si="8"/>
        <v>#DIV/0!</v>
      </c>
      <c r="H122" s="150" t="s">
        <v>332</v>
      </c>
      <c r="L122" s="156" t="s">
        <v>338</v>
      </c>
      <c r="M122" s="103" t="s">
        <v>121</v>
      </c>
      <c r="N122" s="113">
        <v>0</v>
      </c>
      <c r="O122" s="113">
        <v>0</v>
      </c>
      <c r="P122" s="113">
        <v>0</v>
      </c>
      <c r="Q122" s="113">
        <v>0</v>
      </c>
      <c r="R122" s="150" t="s">
        <v>332</v>
      </c>
    </row>
    <row r="123" spans="2:18" ht="16.2">
      <c r="C123" s="151" t="s">
        <v>339</v>
      </c>
      <c r="D123" s="103" t="s">
        <v>121</v>
      </c>
      <c r="E123" s="153" cm="1">
        <f t="array" ref="E123">INDEX(N123:Q123,case_number)</f>
        <v>-36.417914657944856</v>
      </c>
      <c r="F123" s="109" cm="1">
        <f t="array" aca="1" ref="F123" ca="1">INDIRECT(sheet_name&amp;"!MZThigh1")</f>
        <v>-35.328346391219618</v>
      </c>
      <c r="G123" s="118">
        <f t="shared" ca="1" si="8"/>
        <v>-2.9918469438983634E-2</v>
      </c>
      <c r="H123" s="150" t="s">
        <v>332</v>
      </c>
      <c r="L123" s="156" t="s">
        <v>339</v>
      </c>
      <c r="M123" s="103" t="s">
        <v>121</v>
      </c>
      <c r="N123" s="109">
        <v>-35.465363495377048</v>
      </c>
      <c r="O123" s="109">
        <v>-36.417914657944856</v>
      </c>
      <c r="P123" s="109">
        <v>-36.702209985816857</v>
      </c>
      <c r="Q123" s="109">
        <v>-36.827023558245642</v>
      </c>
      <c r="R123" s="150" t="s">
        <v>332</v>
      </c>
    </row>
    <row r="124" spans="2:18" ht="16.2">
      <c r="C124" s="151" t="s">
        <v>340</v>
      </c>
      <c r="D124" s="103" t="s">
        <v>121</v>
      </c>
      <c r="E124" s="153" cm="1">
        <f t="array" ref="E124">INDEX(N124:Q124,case_number)</f>
        <v>0</v>
      </c>
      <c r="F124" s="109" cm="1">
        <f t="array" aca="1" ref="F124" ca="1">INDIRECT(sheet_name&amp;"!MZT1_")</f>
        <v>-11.630230394989466</v>
      </c>
      <c r="G124" s="118" t="e">
        <f t="shared" ca="1" si="8"/>
        <v>#DIV/0!</v>
      </c>
      <c r="H124" s="150" t="s">
        <v>333</v>
      </c>
      <c r="L124" s="156" t="s">
        <v>340</v>
      </c>
      <c r="M124" s="103" t="s">
        <v>121</v>
      </c>
      <c r="N124" s="113">
        <v>0</v>
      </c>
      <c r="O124" s="113">
        <v>0</v>
      </c>
      <c r="P124" s="113">
        <v>0</v>
      </c>
      <c r="Q124" s="113">
        <v>0</v>
      </c>
      <c r="R124" s="150" t="s">
        <v>332</v>
      </c>
    </row>
    <row r="125" spans="2:18" ht="16.2">
      <c r="C125" s="151" t="s">
        <v>338</v>
      </c>
      <c r="D125" s="103" t="s">
        <v>121</v>
      </c>
      <c r="E125" s="153" cm="1">
        <f t="array" ref="E125">INDEX(N125:Q125,case_number)</f>
        <v>2.2649952706376786E-3</v>
      </c>
      <c r="F125" s="109" cm="1">
        <f t="array" aca="1" ref="F125" ca="1">INDIRECT(sheet_name&amp;"!MZTlow2")</f>
        <v>3.3979222369361932E-3</v>
      </c>
      <c r="G125" s="118">
        <f t="shared" ca="1" si="8"/>
        <v>0.50018955049718683</v>
      </c>
      <c r="H125" s="150" t="s">
        <v>333</v>
      </c>
      <c r="L125" s="156" t="s">
        <v>338</v>
      </c>
      <c r="M125" s="103" t="s">
        <v>121</v>
      </c>
      <c r="N125" s="113">
        <v>1.9077937964125081E-3</v>
      </c>
      <c r="O125" s="113">
        <v>2.2649952706376786E-3</v>
      </c>
      <c r="P125" s="113">
        <v>2.3523114046211809E-3</v>
      </c>
      <c r="Q125" s="113">
        <v>2.3781694382762654E-3</v>
      </c>
      <c r="R125" s="150" t="s">
        <v>333</v>
      </c>
    </row>
    <row r="126" spans="2:18" ht="16.2">
      <c r="C126" s="151" t="s">
        <v>339</v>
      </c>
      <c r="D126" s="103" t="s">
        <v>121</v>
      </c>
      <c r="E126" s="153" cm="1">
        <f t="array" ref="E126">INDEX(N126:Q126,case_number)</f>
        <v>-36.373175205048121</v>
      </c>
      <c r="F126" s="109" cm="1">
        <f t="array" aca="1" ref="F126" ca="1">INDIRECT(sheet_name&amp;"!MZThigh2")</f>
        <v>-35.284945474277087</v>
      </c>
      <c r="G126" s="118">
        <f t="shared" ca="1" si="8"/>
        <v>-2.9918469438983734E-2</v>
      </c>
      <c r="H126" s="150" t="s">
        <v>333</v>
      </c>
      <c r="L126" s="156" t="s">
        <v>339</v>
      </c>
      <c r="M126" s="103" t="s">
        <v>121</v>
      </c>
      <c r="N126" s="109">
        <v>-35.421794252753735</v>
      </c>
      <c r="O126" s="109">
        <v>-36.373175205048121</v>
      </c>
      <c r="P126" s="109">
        <v>-36.657121275760574</v>
      </c>
      <c r="Q126" s="109">
        <v>-36.781781514562297</v>
      </c>
      <c r="R126" s="150" t="s">
        <v>333</v>
      </c>
    </row>
    <row r="127" spans="2:18" ht="16.2">
      <c r="C127" s="151" t="s">
        <v>340</v>
      </c>
      <c r="D127" s="103" t="s">
        <v>121</v>
      </c>
      <c r="E127" s="153" cm="1">
        <f t="array" ref="E127">INDEX(N127:Q127,case_number)</f>
        <v>-6.0851174556125201E-4</v>
      </c>
      <c r="F127" s="109" cm="1">
        <f t="array" aca="1" ref="F127" ca="1">INDIRECT(sheet_name&amp;"!MZT2_")</f>
        <v>-11.614649058185766</v>
      </c>
      <c r="G127" s="118">
        <f t="shared" ca="1" si="8"/>
        <v>19085.975958817628</v>
      </c>
      <c r="L127" s="156" t="s">
        <v>340</v>
      </c>
      <c r="M127" s="103" t="s">
        <v>121</v>
      </c>
      <c r="N127" s="113">
        <v>-1.0656586696054177E-3</v>
      </c>
      <c r="O127" s="113">
        <v>-6.0851174556125201E-4</v>
      </c>
      <c r="P127" s="113">
        <v>-4.9521204496935731E-4</v>
      </c>
      <c r="Q127" s="113">
        <v>-4.6588933170917937E-4</v>
      </c>
      <c r="R127" s="150" t="s">
        <v>333</v>
      </c>
    </row>
    <row r="128" spans="2:18" ht="16.2">
      <c r="C128" s="151" t="s">
        <v>341</v>
      </c>
      <c r="D128" s="103" t="s">
        <v>121</v>
      </c>
      <c r="E128" s="153" cm="1">
        <f t="array" ref="E128">INDEX(N128:Q128,case_number)</f>
        <v>0</v>
      </c>
      <c r="F128" s="109" cm="1">
        <f t="array" aca="1" ref="F128" ca="1">INDIRECT(sheet_name&amp;"!point1.Ms")</f>
        <v>-11.630230394989466</v>
      </c>
      <c r="G128" s="118" t="e">
        <f ca="1">(F128-E128)/E128</f>
        <v>#DIV/0!</v>
      </c>
      <c r="L128" s="156" t="s">
        <v>341</v>
      </c>
      <c r="M128" s="103" t="s">
        <v>121</v>
      </c>
      <c r="N128" s="108">
        <v>0</v>
      </c>
      <c r="O128" s="108">
        <v>0</v>
      </c>
      <c r="P128" s="108">
        <v>0</v>
      </c>
      <c r="Q128" s="108">
        <v>0</v>
      </c>
    </row>
    <row r="129" spans="3:18" ht="16.2">
      <c r="C129" s="151" t="s">
        <v>342</v>
      </c>
      <c r="D129" s="103" t="s">
        <v>121</v>
      </c>
      <c r="E129" s="108" cm="1">
        <f t="array" ref="E129">INDEX(N129:Q129,case_number)</f>
        <v>529.9343803828823</v>
      </c>
      <c r="F129" s="109" cm="1">
        <f t="array" aca="1" ref="F129" ca="1">INDIRECT(sheet_name&amp;"!point2.Ms")</f>
        <v>398.88261410412127</v>
      </c>
      <c r="G129" s="118">
        <f ca="1">(F129-E129)/E129</f>
        <v>-0.24729810167076716</v>
      </c>
      <c r="L129" s="156" t="s">
        <v>342</v>
      </c>
      <c r="M129" s="103" t="s">
        <v>121</v>
      </c>
      <c r="N129" s="108">
        <v>483.5891318162395</v>
      </c>
      <c r="O129" s="108">
        <v>529.9343803828823</v>
      </c>
      <c r="P129" s="108">
        <v>543.77707478543186</v>
      </c>
      <c r="Q129" s="108">
        <v>548.31930915528039</v>
      </c>
    </row>
    <row r="130" spans="3:18" ht="16.2">
      <c r="C130" s="151" t="s">
        <v>343</v>
      </c>
      <c r="D130" s="103" t="s">
        <v>121</v>
      </c>
      <c r="E130" s="108" cm="1">
        <f t="array" ref="E130">INDEX(N130:Q130,case_number)</f>
        <v>15.120818477891738</v>
      </c>
      <c r="F130" s="109" cm="1">
        <f t="array" aca="1" ref="F130" ca="1">INDIRECT(sheet_name&amp;"!point3.Ms")</f>
        <v>26.037776074079577</v>
      </c>
      <c r="G130" s="118">
        <f ca="1">(F130-E130)/E130</f>
        <v>0.72198192261547245</v>
      </c>
      <c r="H130" t="s">
        <v>334</v>
      </c>
      <c r="L130" s="156" t="s">
        <v>343</v>
      </c>
      <c r="M130" s="103" t="s">
        <v>121</v>
      </c>
      <c r="N130" s="108">
        <v>16.435554074196752</v>
      </c>
      <c r="O130" s="108">
        <v>15.120818477891738</v>
      </c>
      <c r="P130" s="108">
        <v>14.776766235109696</v>
      </c>
      <c r="Q130" s="108">
        <v>14.650183705484569</v>
      </c>
    </row>
    <row r="131" spans="3:18" ht="15.6">
      <c r="C131" s="112" t="s">
        <v>344</v>
      </c>
      <c r="E131" s="108" cm="1">
        <f t="array" ref="E131">INDEX(N131:Q131,case_number)</f>
        <v>3.230806117500618E-4</v>
      </c>
      <c r="F131" s="109" cm="1">
        <f t="array" aca="1" ref="F131" ca="1">INDIRECT(sheet_name&amp;"!Ms_coeff.tens.2")*1000^2</f>
        <v>1.2895325399289847E-4</v>
      </c>
      <c r="G131" s="118">
        <f t="shared" ref="G131:G133" ca="1" si="9">(F131-E131)/E131</f>
        <v>-0.60086353280568283</v>
      </c>
      <c r="H131" t="s">
        <v>335</v>
      </c>
      <c r="L131" s="112" t="s">
        <v>344</v>
      </c>
      <c r="N131" s="155">
        <v>3.3347741107502015E-4</v>
      </c>
      <c r="O131" s="155">
        <v>3.230806117500618E-4</v>
      </c>
      <c r="P131" s="155">
        <v>3.2039146632289312E-4</v>
      </c>
      <c r="Q131" s="155">
        <v>3.2010247271275469E-4</v>
      </c>
      <c r="R131" t="s">
        <v>334</v>
      </c>
    </row>
    <row r="132" spans="3:18" ht="15.6">
      <c r="C132" s="112" t="s">
        <v>345</v>
      </c>
      <c r="E132" s="108" cm="1">
        <f t="array" ref="E132">INDEX(N132:Q132,case_number)</f>
        <v>6.2238888646142146E-2</v>
      </c>
      <c r="F132" s="109" cm="1">
        <f t="array" aca="1" ref="F132" ca="1">INDIRECT(sheet_name&amp;"!Ms_coeff.tens.1")*1000</f>
        <v>0.1815147156322453</v>
      </c>
      <c r="G132" s="118">
        <f t="shared" ca="1" si="9"/>
        <v>1.9164196144992769</v>
      </c>
      <c r="H132" t="s">
        <v>336</v>
      </c>
      <c r="L132" s="112" t="s">
        <v>345</v>
      </c>
      <c r="N132" s="155">
        <v>6.2930615649585478E-2</v>
      </c>
      <c r="O132" s="155">
        <v>6.2238888646142146E-2</v>
      </c>
      <c r="P132" s="155">
        <v>6.2061288990367128E-2</v>
      </c>
      <c r="Q132" s="155">
        <v>6.2048941840617183E-2</v>
      </c>
      <c r="R132" t="s">
        <v>335</v>
      </c>
    </row>
    <row r="133" spans="3:18" ht="15.6">
      <c r="C133" s="112" t="s">
        <v>346</v>
      </c>
      <c r="E133" s="108" cm="1">
        <f t="array" ref="E133">INDEX(N133:Q133,case_number)</f>
        <v>2.9255263255645332</v>
      </c>
      <c r="F133" s="109" cm="1">
        <f t="array" aca="1" ref="F133" ca="1">INDIRECT(sheet_name&amp;"!Ms_coeff.tens.0")</f>
        <v>2.2906283546485167</v>
      </c>
      <c r="G133" s="118">
        <f t="shared" ca="1" si="9"/>
        <v>-0.21702008468288231</v>
      </c>
      <c r="L133" s="112" t="s">
        <v>346</v>
      </c>
      <c r="N133" s="155">
        <v>2.912944127189661</v>
      </c>
      <c r="O133" s="155">
        <v>2.9255263255645332</v>
      </c>
      <c r="P133" s="155">
        <v>2.928887883619069</v>
      </c>
      <c r="Q133" s="155">
        <v>2.9297976857303638</v>
      </c>
      <c r="R133" t="s">
        <v>336</v>
      </c>
    </row>
  </sheetData>
  <conditionalFormatting sqref="G29:G31">
    <cfRule type="cellIs" dxfId="14" priority="22" operator="notBetween">
      <formula>-0.001</formula>
      <formula>0.001</formula>
    </cfRule>
  </conditionalFormatting>
  <conditionalFormatting sqref="G36:G38">
    <cfRule type="cellIs" dxfId="13" priority="21" operator="notBetween">
      <formula>-0.001</formula>
      <formula>0.001</formula>
    </cfRule>
  </conditionalFormatting>
  <conditionalFormatting sqref="G48:G53">
    <cfRule type="cellIs" dxfId="12" priority="20" operator="notBetween">
      <formula>-0.001</formula>
      <formula>0.001</formula>
    </cfRule>
  </conditionalFormatting>
  <conditionalFormatting sqref="G60:G61">
    <cfRule type="cellIs" dxfId="11" priority="19" operator="notBetween">
      <formula>-0.001</formula>
      <formula>0.001</formula>
    </cfRule>
  </conditionalFormatting>
  <conditionalFormatting sqref="G67:G72">
    <cfRule type="cellIs" dxfId="10" priority="8" operator="notBetween">
      <formula>-0.001</formula>
      <formula>0.001</formula>
    </cfRule>
  </conditionalFormatting>
  <conditionalFormatting sqref="G76:G79">
    <cfRule type="cellIs" dxfId="9" priority="7" operator="notBetween">
      <formula>-0.001</formula>
      <formula>0.001</formula>
    </cfRule>
  </conditionalFormatting>
  <conditionalFormatting sqref="G81:G84">
    <cfRule type="cellIs" dxfId="8" priority="17" operator="notBetween">
      <formula>-0.001</formula>
      <formula>0.001</formula>
    </cfRule>
  </conditionalFormatting>
  <conditionalFormatting sqref="G86:G92">
    <cfRule type="cellIs" dxfId="7" priority="5" operator="notBetween">
      <formula>-0.001</formula>
      <formula>0.001</formula>
    </cfRule>
  </conditionalFormatting>
  <conditionalFormatting sqref="G94:G95">
    <cfRule type="cellIs" dxfId="6" priority="15" operator="notBetween">
      <formula>-0.001</formula>
      <formula>0.001</formula>
    </cfRule>
  </conditionalFormatting>
  <conditionalFormatting sqref="G97:G101">
    <cfRule type="cellIs" dxfId="5" priority="14" operator="notBetween">
      <formula>-0.001</formula>
      <formula>0.001</formula>
    </cfRule>
  </conditionalFormatting>
  <conditionalFormatting sqref="G104">
    <cfRule type="cellIs" dxfId="4" priority="13" operator="notBetween">
      <formula>-0.001</formula>
      <formula>0.001</formula>
    </cfRule>
  </conditionalFormatting>
  <conditionalFormatting sqref="G106:G108">
    <cfRule type="cellIs" dxfId="3" priority="12" operator="notBetween">
      <formula>-0.001</formula>
      <formula>0.001</formula>
    </cfRule>
  </conditionalFormatting>
  <conditionalFormatting sqref="G110">
    <cfRule type="cellIs" dxfId="2" priority="1" operator="notBetween">
      <formula>-0.001</formula>
      <formula>0.001</formula>
    </cfRule>
  </conditionalFormatting>
  <conditionalFormatting sqref="G112:G113">
    <cfRule type="cellIs" dxfId="1" priority="11" operator="notBetween">
      <formula>-0.001</formula>
      <formula>0.001</formula>
    </cfRule>
  </conditionalFormatting>
  <conditionalFormatting sqref="G117:G133">
    <cfRule type="cellIs" dxfId="0" priority="2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371</vt:i4>
      </vt:variant>
    </vt:vector>
  </HeadingPairs>
  <TitlesOfParts>
    <vt:vector size="376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Gap120deg!DZ_gap_c</vt:lpstr>
      <vt:lpstr>Gap30deg!DZ_gap_c</vt:lpstr>
      <vt:lpstr>Gap60deg!DZ_gap_c</vt:lpstr>
      <vt:lpstr>Gap90deg!DZ_gap_c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Gap120deg!DZdwDZ</vt:lpstr>
      <vt:lpstr>Gap30deg!DZdwDZ</vt:lpstr>
      <vt:lpstr>Gap60deg!DZdwDZ</vt:lpstr>
      <vt:lpstr>Gap90deg!DZdwDZ</vt:lpstr>
      <vt:lpstr>Gap120deg!E_mod</vt:lpstr>
      <vt:lpstr>Gap30deg!E_mod</vt:lpstr>
      <vt:lpstr>Gap60deg!E_mod</vt:lpstr>
      <vt:lpstr>Gap90deg!E_mod</vt:lpstr>
      <vt:lpstr>Gap120deg!F_V_c</vt:lpstr>
      <vt:lpstr>Gap30deg!F_V_c</vt:lpstr>
      <vt:lpstr>Gap60deg!F_V_c</vt:lpstr>
      <vt:lpstr>Gap90deg!F_V_c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Gap120deg!MZT1_</vt:lpstr>
      <vt:lpstr>Gap30deg!MZT1_</vt:lpstr>
      <vt:lpstr>Gap60deg!MZT1_</vt:lpstr>
      <vt:lpstr>Gap90deg!MZT1_</vt:lpstr>
      <vt:lpstr>Gap120deg!MZT2_</vt:lpstr>
      <vt:lpstr>Gap30deg!MZT2_</vt:lpstr>
      <vt:lpstr>Gap60deg!MZT2_</vt:lpstr>
      <vt:lpstr>Gap90deg!MZT2_</vt:lpstr>
      <vt:lpstr>Gap120deg!MZThigh1</vt:lpstr>
      <vt:lpstr>Gap30deg!MZThigh1</vt:lpstr>
      <vt:lpstr>Gap60deg!MZThigh1</vt:lpstr>
      <vt:lpstr>Gap90deg!MZThigh1</vt:lpstr>
      <vt:lpstr>Gap120deg!MZThigh2</vt:lpstr>
      <vt:lpstr>Gap30deg!MZThigh2</vt:lpstr>
      <vt:lpstr>Gap60deg!MZThigh2</vt:lpstr>
      <vt:lpstr>Gap90deg!MZThigh2</vt:lpstr>
      <vt:lpstr>Gap120deg!MZTlow1</vt:lpstr>
      <vt:lpstr>Gap30deg!MZTlow1</vt:lpstr>
      <vt:lpstr>Gap60deg!MZTlow1</vt:lpstr>
      <vt:lpstr>Gap90deg!MZTlow1</vt:lpstr>
      <vt:lpstr>Gap120deg!MZTlow2</vt:lpstr>
      <vt:lpstr>Gap30deg!MZTlow2</vt:lpstr>
      <vt:lpstr>Gap60deg!MZTlow2</vt:lpstr>
      <vt:lpstr>Gap90deg!MZTlow2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2024-08-08T10:34:36Z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