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3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4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5.xml" ContentType="application/vnd.openxmlformats-officedocument.drawing+xml"/>
  <Override PartName="/xl/ctrlProps/ctrlProp1.xml" ContentType="application/vnd.ms-excel.controlproperties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MarcelloB\mdb\!Progetti\!KCI\!SP2200052 - Bolt &amp; Beautiful\!pyflange-package\validations\flangesegments.PolynomialLFlangeSegment\"/>
    </mc:Choice>
  </mc:AlternateContent>
  <xr:revisionPtr revIDLastSave="0" documentId="13_ncr:1_{0751E994-FF47-4DF0-A005-07EEE45E7D7A}" xr6:coauthVersionLast="47" xr6:coauthVersionMax="47" xr10:uidLastSave="{00000000-0000-0000-0000-000000000000}"/>
  <bookViews>
    <workbookView xWindow="-28920" yWindow="-9165" windowWidth="29040" windowHeight="17520" activeTab="4" xr2:uid="{710C990D-69B5-462C-923E-A1886280CCCB}"/>
  </bookViews>
  <sheets>
    <sheet name="Gap30deg" sheetId="2" r:id="rId1"/>
    <sheet name="Gap60deg" sheetId="13" r:id="rId2"/>
    <sheet name="Gap90deg" sheetId="14" r:id="rId3"/>
    <sheet name="Gap120deg" sheetId="15" r:id="rId4"/>
    <sheet name="AMD1" sheetId="16" r:id="rId5"/>
  </sheets>
  <definedNames>
    <definedName name="a" localSheetId="3">Gap120deg!$J$36</definedName>
    <definedName name="a" localSheetId="0">Gap30deg!$J$36</definedName>
    <definedName name="a" localSheetId="1">Gap60deg!$J$36</definedName>
    <definedName name="a" localSheetId="2">Gap90deg!$J$36</definedName>
    <definedName name="a_prime" localSheetId="3">Gap120deg!$J$161</definedName>
    <definedName name="a_prime" localSheetId="0">Gap30deg!$J$161</definedName>
    <definedName name="a_prime" localSheetId="1">Gap60deg!$J$161</definedName>
    <definedName name="a_prime" localSheetId="2">Gap90deg!$J$161</definedName>
    <definedName name="a_star" localSheetId="3">Gap120deg!$J$162</definedName>
    <definedName name="a_star" localSheetId="0">Gap30deg!$J$162</definedName>
    <definedName name="a_star" localSheetId="1">Gap60deg!$J$162</definedName>
    <definedName name="a_star" localSheetId="2">Gap90deg!$J$162</definedName>
    <definedName name="b" localSheetId="3">Gap120deg!$J$37</definedName>
    <definedName name="b" localSheetId="0">Gap30deg!$J$37</definedName>
    <definedName name="b" localSheetId="1">Gap60deg!$J$37</definedName>
    <definedName name="b" localSheetId="2">Gap90deg!$J$37</definedName>
    <definedName name="bolt.As" localSheetId="3">Gap120deg!$J$157</definedName>
    <definedName name="bolt.As" localSheetId="0">Gap30deg!$J$157</definedName>
    <definedName name="bolt.As" localSheetId="1">Gap60deg!$J$157</definedName>
    <definedName name="bolt.As" localSheetId="2">Gap90deg!$J$157</definedName>
    <definedName name="bolt.axial_stiffness" localSheetId="3">Gap120deg!$J$155</definedName>
    <definedName name="bolt.axial_stiffness" localSheetId="0">Gap30deg!$J$155</definedName>
    <definedName name="bolt.axial_stiffness" localSheetId="1">Gap60deg!$J$155</definedName>
    <definedName name="bolt.axial_stiffness" localSheetId="2">Gap90deg!$J$155</definedName>
    <definedName name="bolt.bending_stiffness" localSheetId="3">Gap120deg!$J$156</definedName>
    <definedName name="bolt.bending_stiffness" localSheetId="0">Gap30deg!$J$156</definedName>
    <definedName name="bolt.bending_stiffness" localSheetId="1">Gap60deg!$J$156</definedName>
    <definedName name="bolt.bending_stiffness" localSheetId="2">Gap90deg!$J$156</definedName>
    <definedName name="bolt.Dn" localSheetId="3">Gap120deg!$J$48</definedName>
    <definedName name="bolt.Dn" localSheetId="0">Gap30deg!$J$48</definedName>
    <definedName name="bolt.Dn" localSheetId="1">Gap60deg!$J$48</definedName>
    <definedName name="bolt.Dn" localSheetId="2">Gap90deg!$J$48</definedName>
    <definedName name="bolt.Dsh" localSheetId="3">Gap120deg!$J$49</definedName>
    <definedName name="bolt.Dsh" localSheetId="0">Gap30deg!$J$49</definedName>
    <definedName name="bolt.Dsh" localSheetId="1">Gap60deg!$J$49</definedName>
    <definedName name="bolt.Dsh" localSheetId="2">Gap90deg!$J$49</definedName>
    <definedName name="bolt.E" localSheetId="3">Gap120deg!$J$54</definedName>
    <definedName name="bolt.E" localSheetId="0">Gap30deg!$J$54</definedName>
    <definedName name="bolt.E" localSheetId="1">Gap60deg!$J$54</definedName>
    <definedName name="bolt.E" localSheetId="2">Gap90deg!$J$54</definedName>
    <definedName name="bolt.fu" localSheetId="3">Gap120deg!$J$53</definedName>
    <definedName name="bolt.fu" localSheetId="0">Gap30deg!$J$53</definedName>
    <definedName name="bolt.fu" localSheetId="1">Gap60deg!$J$53</definedName>
    <definedName name="bolt.fu" localSheetId="2">Gap90deg!$J$53</definedName>
    <definedName name="bolt.fy" localSheetId="3">Gap120deg!$J$52</definedName>
    <definedName name="bolt.fy" localSheetId="0">Gap30deg!$J$52</definedName>
    <definedName name="bolt.fy" localSheetId="1">Gap60deg!$J$52</definedName>
    <definedName name="bolt.fy" localSheetId="2">Gap90deg!$J$52</definedName>
    <definedName name="bolt.Lsh" localSheetId="3">Gap120deg!$J$50</definedName>
    <definedName name="bolt.Lsh" localSheetId="0">Gap30deg!$J$50</definedName>
    <definedName name="bolt.Lsh" localSheetId="1">Gap60deg!$J$50</definedName>
    <definedName name="bolt.Lsh" localSheetId="2">Gap90deg!$J$50</definedName>
    <definedName name="bolt.pitch" localSheetId="3">Gap120deg!$J$51</definedName>
    <definedName name="bolt.pitch" localSheetId="0">Gap30deg!$J$51</definedName>
    <definedName name="bolt.pitch" localSheetId="1">Gap60deg!$J$51</definedName>
    <definedName name="bolt.pitch" localSheetId="2">Gap90deg!$J$51</definedName>
    <definedName name="bolt.pretension" localSheetId="3">Gap120deg!$J$55</definedName>
    <definedName name="bolt.pretension" localSheetId="0">Gap30deg!$J$55</definedName>
    <definedName name="bolt.pretension" localSheetId="1">Gap60deg!$J$55</definedName>
    <definedName name="bolt.pretension" localSheetId="2">Gap90deg!$J$55</definedName>
    <definedName name="bolt.size" localSheetId="3">Gap120deg!$J$47</definedName>
    <definedName name="bolt.size" localSheetId="0">Gap30deg!$J$47</definedName>
    <definedName name="bolt.size" localSheetId="1">Gap60deg!$J$47</definedName>
    <definedName name="bolt.size" localSheetId="2">Gap90deg!$J$47</definedName>
    <definedName name="case_number" localSheetId="4">'AMD1'!$G$22</definedName>
    <definedName name="central_angle" localSheetId="3">Gap120deg!$J$40</definedName>
    <definedName name="central_angle" localSheetId="0">Gap30deg!$J$40</definedName>
    <definedName name="central_angle" localSheetId="1">Gap60deg!$J$40</definedName>
    <definedName name="central_angle" localSheetId="2">Gap90deg!$J$40</definedName>
    <definedName name="clamped_parts_stiffness" localSheetId="3">Gap120deg!$J$164</definedName>
    <definedName name="clamped_parts_stiffness" localSheetId="0">Gap30deg!$J$164</definedName>
    <definedName name="clamped_parts_stiffness" localSheetId="1">Gap60deg!$J$164</definedName>
    <definedName name="clamped_parts_stiffness" localSheetId="2">Gap90deg!$J$164</definedName>
    <definedName name="dataseries.Fs" localSheetId="3">Gap120deg!$O$67</definedName>
    <definedName name="dataseries.Fs" localSheetId="0">Gap30deg!$O$67</definedName>
    <definedName name="dataseries.Fs" localSheetId="1">Gap60deg!$O$67</definedName>
    <definedName name="dataseries.Fs" localSheetId="2">Gap90deg!$O$67</definedName>
    <definedName name="dataseries.Ms" localSheetId="3">Gap120deg!$O$68</definedName>
    <definedName name="dataseries.Ms" localSheetId="0">Gap30deg!$O$68</definedName>
    <definedName name="dataseries.Ms" localSheetId="1">Gap60deg!$O$68</definedName>
    <definedName name="dataseries.Ms" localSheetId="2">Gap90deg!$O$68</definedName>
    <definedName name="dataseries.Z" localSheetId="3">Gap120deg!$O$66</definedName>
    <definedName name="dataseries.Z" localSheetId="0">Gap30deg!$O$66</definedName>
    <definedName name="dataseries.Z" localSheetId="1">Gap60deg!$O$66</definedName>
    <definedName name="dataseries.Z" localSheetId="2">Gap90deg!$O$66</definedName>
    <definedName name="Do" localSheetId="3">Gap120deg!$J$56</definedName>
    <definedName name="Do" localSheetId="0">Gap30deg!$J$56</definedName>
    <definedName name="Do" localSheetId="1">Gap60deg!$J$56</definedName>
    <definedName name="Do" localSheetId="2">Gap90deg!$J$56</definedName>
    <definedName name="Dw" localSheetId="3">Gap120deg!$J$57</definedName>
    <definedName name="Dw" localSheetId="0">Gap30deg!$J$57</definedName>
    <definedName name="Dw" localSheetId="1">Gap60deg!$J$57</definedName>
    <definedName name="Dw" localSheetId="2">Gap90deg!$J$57</definedName>
    <definedName name="DZ_gap" localSheetId="3">Gap120deg!$J$148</definedName>
    <definedName name="DZ_gap" localSheetId="0">Gap30deg!$J$148</definedName>
    <definedName name="DZ_gap" localSheetId="1">Gap60deg!$J$148</definedName>
    <definedName name="DZ_gap" localSheetId="2">Gap90deg!$J$148</definedName>
    <definedName name="DZ_gap_inclination" localSheetId="3">Gap120deg!$J$147</definedName>
    <definedName name="DZ_gap_inclination" localSheetId="0">Gap30deg!$J$147</definedName>
    <definedName name="DZ_gap_inclination" localSheetId="1">Gap60deg!$J$147</definedName>
    <definedName name="DZ_gap_inclination" localSheetId="2">Gap90deg!$J$147</definedName>
    <definedName name="DZ_gap_tot" localSheetId="3">Gap120deg!$J$149</definedName>
    <definedName name="DZ_gap_tot" localSheetId="0">Gap30deg!$J$149</definedName>
    <definedName name="DZ_gap_tot" localSheetId="1">Gap60deg!$J$149</definedName>
    <definedName name="DZ_gap_tot" localSheetId="2">Gap90deg!$J$149</definedName>
    <definedName name="E_mod" localSheetId="3">Gap120deg!$J$43</definedName>
    <definedName name="E_mod" localSheetId="0">Gap30deg!$J$43</definedName>
    <definedName name="E_mod" localSheetId="1">Gap60deg!$J$43</definedName>
    <definedName name="E_mod" localSheetId="2">Gap90deg!$J$43</definedName>
    <definedName name="flange.A_cf" localSheetId="3">Gap120deg!$J$134</definedName>
    <definedName name="flange.A_cf" localSheetId="0">Gap30deg!$J$134</definedName>
    <definedName name="flange.A_cf" localSheetId="1">Gap60deg!$J$134</definedName>
    <definedName name="flange.A_cf" localSheetId="2">Gap90deg!$J$134</definedName>
    <definedName name="flange.I_cf" localSheetId="3">Gap120deg!$J$135</definedName>
    <definedName name="flange.I_cf" localSheetId="0">Gap30deg!$J$135</definedName>
    <definedName name="flange.I_cf" localSheetId="1">Gap60deg!$J$135</definedName>
    <definedName name="flange.I_cf" localSheetId="2">Gap90deg!$J$135</definedName>
    <definedName name="Fs_coeff.comp.0" localSheetId="3">Gap120deg!$I$90</definedName>
    <definedName name="Fs_coeff.comp.0" localSheetId="0">Gap30deg!$I$90</definedName>
    <definedName name="Fs_coeff.comp.0" localSheetId="1">Gap60deg!$I$90</definedName>
    <definedName name="Fs_coeff.comp.0" localSheetId="2">Gap90deg!$I$90</definedName>
    <definedName name="Fs_coeff.comp.1" localSheetId="3">Gap120deg!$J$90</definedName>
    <definedName name="Fs_coeff.comp.1" localSheetId="0">Gap30deg!$J$90</definedName>
    <definedName name="Fs_coeff.comp.1" localSheetId="1">Gap60deg!$J$90</definedName>
    <definedName name="Fs_coeff.comp.1" localSheetId="2">Gap90deg!$J$90</definedName>
    <definedName name="Fs_coeff.comp.2" localSheetId="3">Gap120deg!$K$90</definedName>
    <definedName name="Fs_coeff.comp.2" localSheetId="0">Gap30deg!$K$90</definedName>
    <definedName name="Fs_coeff.comp.2" localSheetId="1">Gap60deg!$K$90</definedName>
    <definedName name="Fs_coeff.comp.2" localSheetId="2">Gap90deg!$K$90</definedName>
    <definedName name="Fs_coeff.const" localSheetId="3">Gap120deg!$I$91</definedName>
    <definedName name="Fs_coeff.const" localSheetId="0">Gap30deg!$I$91</definedName>
    <definedName name="Fs_coeff.const" localSheetId="1">Gap60deg!$I$91</definedName>
    <definedName name="Fs_coeff.const" localSheetId="2">Gap90deg!$I$91</definedName>
    <definedName name="Fs_coeff.tens.0" localSheetId="3">Gap120deg!$I$89</definedName>
    <definedName name="Fs_coeff.tens.0" localSheetId="0">Gap30deg!$I$89</definedName>
    <definedName name="Fs_coeff.tens.0" localSheetId="1">Gap60deg!$I$89</definedName>
    <definedName name="Fs_coeff.tens.0" localSheetId="2">Gap90deg!$I$89</definedName>
    <definedName name="Fs_coeff.tens.1" localSheetId="3">Gap120deg!$J$89</definedName>
    <definedName name="Fs_coeff.tens.1" localSheetId="0">Gap30deg!$J$89</definedName>
    <definedName name="Fs_coeff.tens.1" localSheetId="1">Gap60deg!$J$89</definedName>
    <definedName name="Fs_coeff.tens.1" localSheetId="2">Gap90deg!$J$89</definedName>
    <definedName name="Fs_coeff.tens.2" localSheetId="3">Gap120deg!$K$89</definedName>
    <definedName name="Fs_coeff.tens.2" localSheetId="0">Gap30deg!$K$89</definedName>
    <definedName name="Fs_coeff.tens.2" localSheetId="1">Gap60deg!$K$89</definedName>
    <definedName name="Fs_coeff.tens.2" localSheetId="2">Gap90deg!$K$89</definedName>
    <definedName name="G_mod" localSheetId="3">Gap120deg!$J$44</definedName>
    <definedName name="G_mod" localSheetId="0">Gap30deg!$J$44</definedName>
    <definedName name="G_mod" localSheetId="1">Gap60deg!$J$44</definedName>
    <definedName name="G_mod" localSheetId="2">Gap90deg!$J$44</definedName>
    <definedName name="gap.angle" localSheetId="3">Gap120deg!$J$160</definedName>
    <definedName name="gap.angle" localSheetId="0">Gap30deg!$J$160</definedName>
    <definedName name="gap.angle" localSheetId="1">Gap60deg!$J$160</definedName>
    <definedName name="gap.angle" localSheetId="2">Gap90deg!$J$160</definedName>
    <definedName name="gap.COV" localSheetId="3">Gap120deg!$J$129</definedName>
    <definedName name="gap.COV" localSheetId="0">Gap30deg!$J$129</definedName>
    <definedName name="gap.COV" localSheetId="1">Gap60deg!$J$129</definedName>
    <definedName name="gap.COV" localSheetId="2">Gap90deg!$J$129</definedName>
    <definedName name="gap.h" localSheetId="3">Gap120deg!$J$60</definedName>
    <definedName name="gap.h" localSheetId="0">Gap30deg!$J$60</definedName>
    <definedName name="gap.h" localSheetId="1">Gap60deg!$J$60</definedName>
    <definedName name="gap.h" localSheetId="2">Gap90deg!$J$60</definedName>
    <definedName name="gap.k_fac" localSheetId="3">Gap120deg!$J$132</definedName>
    <definedName name="gap.k_fac" localSheetId="0">Gap30deg!$J$132</definedName>
    <definedName name="gap.k_fac" localSheetId="1">Gap60deg!$J$132</definedName>
    <definedName name="gap.k_fac" localSheetId="2">Gap90deg!$J$132</definedName>
    <definedName name="gap.k_fl" localSheetId="3">Gap120deg!$J$136</definedName>
    <definedName name="gap.k_fl" localSheetId="0">Gap30deg!$J$136</definedName>
    <definedName name="gap.k_fl" localSheetId="1">Gap60deg!$J$136</definedName>
    <definedName name="gap.k_fl" localSheetId="2">Gap90deg!$J$136</definedName>
    <definedName name="gap.k_mean" localSheetId="3">Gap120deg!$J$128</definedName>
    <definedName name="gap.k_mean" localSheetId="0">Gap30deg!$J$128</definedName>
    <definedName name="gap.k_mean" localSheetId="1">Gap60deg!$J$128</definedName>
    <definedName name="gap.k_mean" localSheetId="2">Gap90deg!$J$128</definedName>
    <definedName name="gap.k_shell" localSheetId="3">Gap120deg!$J$133</definedName>
    <definedName name="gap.k_shell" localSheetId="0">Gap30deg!$J$133</definedName>
    <definedName name="gap.k_shell" localSheetId="1">Gap60deg!$J$133</definedName>
    <definedName name="gap.k_shell" localSheetId="2">Gap90deg!$J$133</definedName>
    <definedName name="gap.L" localSheetId="3">Gap120deg!$J$61</definedName>
    <definedName name="gap.L" localSheetId="0">Gap30deg!$J$61</definedName>
    <definedName name="gap.L" localSheetId="1">Gap60deg!$J$61</definedName>
    <definedName name="gap.L" localSheetId="2">Gap90deg!$J$61</definedName>
    <definedName name="gap.stiffness" localSheetId="3">Gap120deg!$J$137</definedName>
    <definedName name="gap.stiffness" localSheetId="0">Gap30deg!$J$137</definedName>
    <definedName name="gap.stiffness" localSheetId="1">Gap60deg!$J$137</definedName>
    <definedName name="gap.stiffness" localSheetId="2">Gap90deg!$J$137</definedName>
    <definedName name="gap_angle" localSheetId="4">'AMD1'!$G$21</definedName>
    <definedName name="I_tg" localSheetId="3">Gap120deg!$J$163</definedName>
    <definedName name="I_tg" localSheetId="0">Gap30deg!$J$163</definedName>
    <definedName name="I_tg" localSheetId="1">Gap60deg!$J$163</definedName>
    <definedName name="I_tg" localSheetId="2">Gap90deg!$J$163</definedName>
    <definedName name="k_seg" localSheetId="3">Gap120deg!$J$141</definedName>
    <definedName name="k_seg" localSheetId="0">Gap30deg!$J$141</definedName>
    <definedName name="k_seg" localSheetId="1">Gap60deg!$J$141</definedName>
    <definedName name="k_seg" localSheetId="2">Gap90deg!$J$141</definedName>
    <definedName name="Ms_coeff.comp.0" localSheetId="3">Gap120deg!$I$120</definedName>
    <definedName name="Ms_coeff.comp.0" localSheetId="0">Gap30deg!$I$120</definedName>
    <definedName name="Ms_coeff.comp.0" localSheetId="1">Gap60deg!$I$120</definedName>
    <definedName name="Ms_coeff.comp.0" localSheetId="2">Gap90deg!$I$120</definedName>
    <definedName name="Ms_coeff.comp.1" localSheetId="3">Gap120deg!$J$120</definedName>
    <definedName name="Ms_coeff.comp.1" localSheetId="0">Gap30deg!$J$120</definedName>
    <definedName name="Ms_coeff.comp.1" localSheetId="1">Gap60deg!$J$120</definedName>
    <definedName name="Ms_coeff.comp.1" localSheetId="2">Gap90deg!$J$120</definedName>
    <definedName name="Ms_coeff.comp.2" localSheetId="3">Gap120deg!$K$120</definedName>
    <definedName name="Ms_coeff.comp.2" localSheetId="0">Gap30deg!$K$120</definedName>
    <definedName name="Ms_coeff.comp.2" localSheetId="1">Gap60deg!$K$120</definedName>
    <definedName name="Ms_coeff.comp.2" localSheetId="2">Gap90deg!$K$120</definedName>
    <definedName name="Ms_coeff.const" localSheetId="3">Gap120deg!$I$121</definedName>
    <definedName name="Ms_coeff.const" localSheetId="0">Gap30deg!$I$121</definedName>
    <definedName name="Ms_coeff.const" localSheetId="1">Gap60deg!$I$121</definedName>
    <definedName name="Ms_coeff.const" localSheetId="2">Gap90deg!$I$121</definedName>
    <definedName name="Ms_coeff.tens.0" localSheetId="3">Gap120deg!$I$119</definedName>
    <definedName name="Ms_coeff.tens.0" localSheetId="0">Gap30deg!$I$119</definedName>
    <definedName name="Ms_coeff.tens.0" localSheetId="1">Gap60deg!$I$119</definedName>
    <definedName name="Ms_coeff.tens.0" localSheetId="2">Gap90deg!$I$119</definedName>
    <definedName name="Ms_coeff.tens.1" localSheetId="3">Gap120deg!$J$119</definedName>
    <definedName name="Ms_coeff.tens.1" localSheetId="0">Gap30deg!$J$119</definedName>
    <definedName name="Ms_coeff.tens.1" localSheetId="1">Gap60deg!$J$119</definedName>
    <definedName name="Ms_coeff.tens.1" localSheetId="2">Gap90deg!$J$119</definedName>
    <definedName name="Ms_coeff.tens.2" localSheetId="3">Gap120deg!$K$119</definedName>
    <definedName name="Ms_coeff.tens.2" localSheetId="0">Gap30deg!$K$119</definedName>
    <definedName name="Ms_coeff.tens.2" localSheetId="1">Gap60deg!$K$119</definedName>
    <definedName name="Ms_coeff.tens.2" localSheetId="2">Gap90deg!$K$119</definedName>
    <definedName name="point1.Fs" localSheetId="3">Gap120deg!$K$83</definedName>
    <definedName name="point1.Fs" localSheetId="0">Gap30deg!$K$83</definedName>
    <definedName name="point1.Fs" localSheetId="1">Gap60deg!$K$83</definedName>
    <definedName name="point1.Fs" localSheetId="2">Gap90deg!$K$83</definedName>
    <definedName name="point1.Ms" localSheetId="3">Gap120deg!$K$113</definedName>
    <definedName name="point1.Ms" localSheetId="0">Gap30deg!$K$113</definedName>
    <definedName name="point1.Ms" localSheetId="1">Gap60deg!$K$113</definedName>
    <definedName name="point1.Ms" localSheetId="2">Gap90deg!$K$113</definedName>
    <definedName name="point1.Z" localSheetId="3">Gap120deg!$J$83</definedName>
    <definedName name="point1.Z" localSheetId="0">Gap30deg!$J$83</definedName>
    <definedName name="point1.Z" localSheetId="1">Gap60deg!$J$83</definedName>
    <definedName name="point1.Z" localSheetId="2">Gap90deg!$J$83</definedName>
    <definedName name="point2.Fs" localSheetId="3">Gap120deg!$K$84</definedName>
    <definedName name="point2.Fs" localSheetId="0">Gap30deg!$K$84</definedName>
    <definedName name="point2.Fs" localSheetId="1">Gap60deg!$K$84</definedName>
    <definedName name="point2.Fs" localSheetId="2">Gap90deg!$K$84</definedName>
    <definedName name="point2.Ms" localSheetId="3">Gap120deg!$K$114</definedName>
    <definedName name="point2.Ms" localSheetId="0">Gap30deg!$K$114</definedName>
    <definedName name="point2.Ms" localSheetId="1">Gap60deg!$K$114</definedName>
    <definedName name="point2.Ms" localSheetId="2">Gap90deg!$K$114</definedName>
    <definedName name="point2.Z" localSheetId="3">Gap120deg!$J$84</definedName>
    <definedName name="point2.Z" localSheetId="0">Gap30deg!$J$84</definedName>
    <definedName name="point2.Z" localSheetId="1">Gap60deg!$J$84</definedName>
    <definedName name="point2.Z" localSheetId="2">Gap90deg!$J$84</definedName>
    <definedName name="point3.Fs" localSheetId="3">Gap120deg!$K$85</definedName>
    <definedName name="point3.Fs" localSheetId="0">Gap30deg!$K$85</definedName>
    <definedName name="point3.Fs" localSheetId="1">Gap60deg!$K$85</definedName>
    <definedName name="point3.Fs" localSheetId="2">Gap90deg!$K$85</definedName>
    <definedName name="point3.Ms" localSheetId="3">Gap120deg!$K$115</definedName>
    <definedName name="point3.Ms" localSheetId="0">Gap30deg!$K$115</definedName>
    <definedName name="point3.Ms" localSheetId="1">Gap60deg!$K$115</definedName>
    <definedName name="point3.Ms" localSheetId="2">Gap90deg!$K$115</definedName>
    <definedName name="point3.Z" localSheetId="3">Gap120deg!$J$85</definedName>
    <definedName name="point3.Z" localSheetId="0">Gap30deg!$J$85</definedName>
    <definedName name="point3.Z" localSheetId="1">Gap60deg!$J$85</definedName>
    <definedName name="point3.Z" localSheetId="2">Gap90deg!$J$85</definedName>
    <definedName name="point4.Fs" localSheetId="3">Gap120deg!$K$86</definedName>
    <definedName name="point4.Fs" localSheetId="0">Gap30deg!$K$86</definedName>
    <definedName name="point4.Fs" localSheetId="1">Gap60deg!$K$86</definedName>
    <definedName name="point4.Fs" localSheetId="2">Gap90deg!$K$86</definedName>
    <definedName name="point4.Ms" localSheetId="3">Gap120deg!$K$116</definedName>
    <definedName name="point4.Ms" localSheetId="0">Gap30deg!$K$116</definedName>
    <definedName name="point4.Ms" localSheetId="1">Gap60deg!$K$116</definedName>
    <definedName name="point4.Ms" localSheetId="2">Gap90deg!$K$116</definedName>
    <definedName name="point4.Z" localSheetId="3">Gap120deg!$J$86</definedName>
    <definedName name="point4.Z" localSheetId="0">Gap30deg!$J$86</definedName>
    <definedName name="point4.Z" localSheetId="1">Gap60deg!$J$86</definedName>
    <definedName name="point4.Z" localSheetId="2">Gap90deg!$J$86</definedName>
    <definedName name="polynomial_initial_slope" localSheetId="3">Gap120deg!$J$152</definedName>
    <definedName name="polynomial_initial_slope" localSheetId="0">Gap30deg!$J$152</definedName>
    <definedName name="polynomial_initial_slope" localSheetId="1">Gap60deg!$J$152</definedName>
    <definedName name="polynomial_initial_slope" localSheetId="2">Gap90deg!$J$152</definedName>
    <definedName name="_xlnm.Print_Area" localSheetId="3">Gap120deg!$A$11:$K$176</definedName>
    <definedName name="_xlnm.Print_Area" localSheetId="0">Gap30deg!$A$11:$K$176</definedName>
    <definedName name="_xlnm.Print_Area" localSheetId="1">Gap60deg!$A$11:$K$176</definedName>
    <definedName name="_xlnm.Print_Area" localSheetId="2">Gap90deg!$A$11:$K$176</definedName>
    <definedName name="Radius" localSheetId="3">Gap120deg!$J$41</definedName>
    <definedName name="Radius" localSheetId="0">Gap30deg!$J$41</definedName>
    <definedName name="Radius" localSheetId="1">Gap60deg!$J$41</definedName>
    <definedName name="Radius" localSheetId="2">Gap90deg!$J$41</definedName>
    <definedName name="sheet_name" localSheetId="4">'AMD1'!$G$23</definedName>
    <definedName name="shell_thickness" localSheetId="3">Gap120deg!$J$38</definedName>
    <definedName name="shell_thickness" localSheetId="0">Gap30deg!$J$38</definedName>
    <definedName name="shell_thickness" localSheetId="1">Gap60deg!$J$38</definedName>
    <definedName name="shell_thickness" localSheetId="2">Gap90deg!$J$38</definedName>
    <definedName name="stiffness_correction_factor" localSheetId="3">Gap120deg!$J$142</definedName>
    <definedName name="stiffness_correction_factor" localSheetId="0">Gap30deg!$J$142</definedName>
    <definedName name="stiffness_correction_factor" localSheetId="1">Gap60deg!$J$142</definedName>
    <definedName name="stiffness_correction_factor" localSheetId="2">Gap90deg!$J$142</definedName>
    <definedName name="t" localSheetId="3">Gap120deg!$J$39</definedName>
    <definedName name="t" localSheetId="0">Gap30deg!$J$39</definedName>
    <definedName name="t" localSheetId="1">Gap60deg!$J$39</definedName>
    <definedName name="t" localSheetId="2">Gap90deg!$J$39</definedName>
    <definedName name="TemplateTitle" localSheetId="3">Gap120deg!$B$1</definedName>
    <definedName name="TemplateTitle" localSheetId="0">Gap30deg!$B$1</definedName>
    <definedName name="TemplateTitle" localSheetId="1">Gap60deg!$B$1</definedName>
    <definedName name="TemplateTitle" localSheetId="2">Gap90deg!$B$1</definedName>
    <definedName name="TemplateVersion" localSheetId="3">Gap120deg!$K$1</definedName>
    <definedName name="TemplateVersion" localSheetId="0">Gap30deg!$K$1</definedName>
    <definedName name="TemplateVersion" localSheetId="1">Gap60deg!$K$1</definedName>
    <definedName name="TemplateVersion" localSheetId="2">Gap90deg!$K$1</definedName>
    <definedName name="Title" localSheetId="3">Gap120deg!$B$11</definedName>
    <definedName name="Title" localSheetId="0">Gap30deg!$B$11</definedName>
    <definedName name="Title" localSheetId="1">Gap60deg!$B$11</definedName>
    <definedName name="Title" localSheetId="2">Gap90deg!$B$11</definedName>
    <definedName name="true_force_initial_slope" localSheetId="3">Gap120deg!$J$165</definedName>
    <definedName name="true_force_initial_slope" localSheetId="0">Gap30deg!$J$165</definedName>
    <definedName name="true_force_initial_slope" localSheetId="1">Gap60deg!$J$165</definedName>
    <definedName name="true_force_initial_slope" localSheetId="2">Gap90deg!$J$165</definedName>
    <definedName name="true_moment_initial_slope" localSheetId="3">Gap120deg!$J$166</definedName>
    <definedName name="true_moment_initial_slope" localSheetId="0">Gap30deg!$J$166</definedName>
    <definedName name="true_moment_initial_slope" localSheetId="1">Gap60deg!$J$166</definedName>
    <definedName name="true_moment_initial_slope" localSheetId="2">Gap90deg!$J$166</definedName>
    <definedName name="u" localSheetId="3">Gap120deg!$J$140</definedName>
    <definedName name="u" localSheetId="0">Gap30deg!$J$140</definedName>
    <definedName name="u" localSheetId="1">Gap60deg!$J$140</definedName>
    <definedName name="u" localSheetId="2">Gap90deg!$J$140</definedName>
    <definedName name="u_tol" localSheetId="3">Gap120deg!$J$127</definedName>
    <definedName name="u_tol" localSheetId="0">Gap30deg!$J$127</definedName>
    <definedName name="u_tol" localSheetId="1">Gap60deg!$J$127</definedName>
    <definedName name="u_tol" localSheetId="2">Gap90deg!$J$127</definedName>
    <definedName name="Z_2_td" localSheetId="3">Gap120deg!$J$146</definedName>
    <definedName name="Z_2_td" localSheetId="0">Gap30deg!$J$146</definedName>
    <definedName name="Z_2_td" localSheetId="1">Gap60deg!$J$146</definedName>
    <definedName name="Z_2_td" localSheetId="2">Gap90deg!$J$146</definedName>
    <definedName name="Z_dw" localSheetId="3">Gap120deg!$J$42</definedName>
    <definedName name="Z_dw" localSheetId="0">Gap30deg!$J$42</definedName>
    <definedName name="Z_dw" localSheetId="1">Gap60deg!$J$42</definedName>
    <definedName name="Z_dw" localSheetId="2">Gap90deg!$J$42</definedName>
    <definedName name="Z0" localSheetId="3">Gap120deg!$J$145</definedName>
    <definedName name="Z0" localSheetId="0">Gap30deg!$J$145</definedName>
    <definedName name="Z0" localSheetId="1">Gap60deg!$J$145</definedName>
    <definedName name="Z0" localSheetId="2">Gap90deg!$J$145</definedName>
  </definedNames>
  <calcPr calcId="191029" calcMode="autoNoTable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23" i="16" l="1"/>
  <c r="G22" i="16"/>
  <c r="E120" i="16" s="1" a="1"/>
  <c r="E120" i="16" s="1"/>
  <c r="R27" i="16"/>
  <c r="B28" i="16"/>
  <c r="B31" i="16" s="1"/>
  <c r="B35" i="16" s="1"/>
  <c r="B39" i="16" s="1"/>
  <c r="B41" i="16" s="1"/>
  <c r="B42" i="16" s="1"/>
  <c r="B43" i="16" s="1"/>
  <c r="B44" i="16" s="1"/>
  <c r="B45" i="16" s="1"/>
  <c r="B47" i="16" s="1"/>
  <c r="B52" i="16" s="1"/>
  <c r="B53" i="16" s="1"/>
  <c r="B55" i="16" s="1"/>
  <c r="B56" i="16" s="1"/>
  <c r="B57" i="16" s="1"/>
  <c r="B58" i="16" s="1"/>
  <c r="B59" i="16" s="1"/>
  <c r="B60" i="16" s="1"/>
  <c r="B62" i="16" s="1"/>
  <c r="B63" i="16" s="1"/>
  <c r="B64" i="16" s="1"/>
  <c r="B65" i="16" s="1"/>
  <c r="B66" i="16" s="1"/>
  <c r="B79" i="16" s="1"/>
  <c r="B84" i="16" s="1"/>
  <c r="B85" i="16" s="1"/>
  <c r="B88" i="16" s="1"/>
  <c r="B89" i="16" s="1"/>
  <c r="B90" i="16" s="1"/>
  <c r="B91" i="16" s="1"/>
  <c r="B93" i="16" s="1"/>
  <c r="B94" i="16" s="1"/>
  <c r="B95" i="16" s="1"/>
  <c r="B96" i="16" s="1"/>
  <c r="B97" i="16" s="1"/>
  <c r="B99" i="16" s="1"/>
  <c r="B100" i="16" s="1"/>
  <c r="B101" i="16" s="1"/>
  <c r="B102" i="16" s="1"/>
  <c r="B104" i="16" s="1"/>
  <c r="B105" i="16" s="1"/>
  <c r="B106" i="16" s="1"/>
  <c r="B107" i="16" s="1"/>
  <c r="B108" i="16" s="1"/>
  <c r="B109" i="16" s="1"/>
  <c r="B110" i="16" s="1"/>
  <c r="B111" i="16" s="1"/>
  <c r="B112" i="16" s="1"/>
  <c r="B114" i="16" s="1"/>
  <c r="B115" i="16" s="1"/>
  <c r="B116" i="16" s="1"/>
  <c r="B117" i="16" s="1"/>
  <c r="B119" i="16" s="1"/>
  <c r="K28" i="16"/>
  <c r="K31" i="16" s="1"/>
  <c r="K35" i="16" s="1"/>
  <c r="K39" i="16" s="1"/>
  <c r="K41" i="16" s="1"/>
  <c r="K42" i="16" s="1"/>
  <c r="K43" i="16" s="1"/>
  <c r="K44" i="16" s="1"/>
  <c r="K45" i="16" s="1"/>
  <c r="K47" i="16" s="1"/>
  <c r="K52" i="16" s="1"/>
  <c r="K53" i="16" s="1"/>
  <c r="K55" i="16" s="1"/>
  <c r="K56" i="16" s="1"/>
  <c r="K57" i="16" s="1"/>
  <c r="K58" i="16" s="1"/>
  <c r="K59" i="16" s="1"/>
  <c r="K60" i="16" s="1"/>
  <c r="K62" i="16" s="1"/>
  <c r="K63" i="16" s="1"/>
  <c r="K64" i="16" s="1"/>
  <c r="K65" i="16" s="1"/>
  <c r="K66" i="16" s="1"/>
  <c r="K79" i="16" s="1"/>
  <c r="K84" i="16" s="1"/>
  <c r="K85" i="16" s="1"/>
  <c r="K88" i="16" s="1"/>
  <c r="K89" i="16" s="1"/>
  <c r="K90" i="16" s="1"/>
  <c r="K91" i="16" s="1"/>
  <c r="K93" i="16" s="1"/>
  <c r="K94" i="16" s="1"/>
  <c r="K95" i="16" s="1"/>
  <c r="K96" i="16" s="1"/>
  <c r="K97" i="16" s="1"/>
  <c r="K99" i="16" s="1"/>
  <c r="K100" i="16" s="1"/>
  <c r="K101" i="16" s="1"/>
  <c r="K102" i="16" s="1"/>
  <c r="K104" i="16" s="1"/>
  <c r="K105" i="16" s="1"/>
  <c r="K106" i="16" s="1"/>
  <c r="K107" i="16" s="1"/>
  <c r="K108" i="16" s="1"/>
  <c r="K109" i="16" s="1"/>
  <c r="K110" i="16" s="1"/>
  <c r="K111" i="16" s="1"/>
  <c r="K112" i="16" s="1"/>
  <c r="K114" i="16" s="1"/>
  <c r="K115" i="16" s="1"/>
  <c r="K116" i="16" s="1"/>
  <c r="K117" i="16" s="1"/>
  <c r="K119" i="16" s="1"/>
  <c r="R28" i="16"/>
  <c r="R29" i="16"/>
  <c r="R30" i="16"/>
  <c r="R31" i="16"/>
  <c r="R32" i="16"/>
  <c r="R33" i="16"/>
  <c r="R34" i="16"/>
  <c r="R35" i="16"/>
  <c r="R36" i="16"/>
  <c r="R37" i="16"/>
  <c r="R39" i="16"/>
  <c r="R40" i="16"/>
  <c r="R41" i="16"/>
  <c r="R42" i="16"/>
  <c r="R43" i="16"/>
  <c r="R44" i="16"/>
  <c r="R45" i="16"/>
  <c r="R46" i="16"/>
  <c r="R47" i="16"/>
  <c r="R48" i="16"/>
  <c r="R49" i="16"/>
  <c r="R50" i="16"/>
  <c r="R51" i="16"/>
  <c r="R52" i="16"/>
  <c r="R53" i="16"/>
  <c r="R54" i="16"/>
  <c r="R55" i="16"/>
  <c r="R56" i="16"/>
  <c r="R57" i="16"/>
  <c r="R58" i="16"/>
  <c r="R59" i="16"/>
  <c r="R60" i="16"/>
  <c r="R61" i="16"/>
  <c r="R62" i="16"/>
  <c r="R63" i="16"/>
  <c r="R64" i="16"/>
  <c r="R65" i="16"/>
  <c r="R66" i="16"/>
  <c r="R79" i="16"/>
  <c r="R80" i="16"/>
  <c r="R81" i="16"/>
  <c r="R82" i="16"/>
  <c r="R83" i="16"/>
  <c r="R84" i="16"/>
  <c r="R85" i="16"/>
  <c r="R86" i="16"/>
  <c r="R87" i="16"/>
  <c r="R88" i="16"/>
  <c r="R89" i="16"/>
  <c r="R90" i="16"/>
  <c r="R91" i="16"/>
  <c r="R93" i="16"/>
  <c r="R94" i="16"/>
  <c r="R95" i="16"/>
  <c r="R96" i="16"/>
  <c r="R97" i="16"/>
  <c r="R98" i="16"/>
  <c r="R99" i="16"/>
  <c r="R100" i="16"/>
  <c r="R101" i="16"/>
  <c r="R102" i="16"/>
  <c r="R103" i="16"/>
  <c r="R104" i="16"/>
  <c r="R105" i="16"/>
  <c r="R106" i="16"/>
  <c r="R107" i="16"/>
  <c r="R108" i="16"/>
  <c r="R109" i="16"/>
  <c r="R110" i="16"/>
  <c r="R111" i="16"/>
  <c r="R112" i="16"/>
  <c r="R113" i="16"/>
  <c r="R114" i="16"/>
  <c r="R115" i="16"/>
  <c r="R116" i="16"/>
  <c r="R117" i="16"/>
  <c r="R118" i="16"/>
  <c r="R119" i="16"/>
  <c r="R120" i="16"/>
  <c r="F109" i="16" a="1"/>
  <c r="F36" i="16" a="1"/>
  <c r="F79" i="16" a="1"/>
  <c r="F95" i="16" a="1"/>
  <c r="F68" i="16" a="1"/>
  <c r="F84" i="16" a="1"/>
  <c r="F30" i="16" a="1"/>
  <c r="F93" i="16" a="1"/>
  <c r="F100" i="16" a="1"/>
  <c r="F78" i="16" a="1"/>
  <c r="F89" i="16" a="1"/>
  <c r="F29" i="16" a="1"/>
  <c r="F97" i="16" a="1"/>
  <c r="F104" i="16" a="1"/>
  <c r="F48" i="16" a="1"/>
  <c r="F82" i="16" a="1"/>
  <c r="F51" i="16" a="1"/>
  <c r="F119" i="16" a="1"/>
  <c r="F61" i="16" a="1"/>
  <c r="F108" i="16" a="1"/>
  <c r="F67" i="16" a="1"/>
  <c r="F38" i="16" a="1"/>
  <c r="F49" i="16" a="1"/>
  <c r="F87" i="16" a="1"/>
  <c r="F50" i="16" a="1"/>
  <c r="F77" i="16" a="1"/>
  <c r="F72" i="16" a="1"/>
  <c r="F107" i="16" a="1"/>
  <c r="F113" i="16" a="1"/>
  <c r="F60" i="16" a="1"/>
  <c r="F106" i="16" a="1"/>
  <c r="F99" i="16" a="1"/>
  <c r="F81" i="16" a="1"/>
  <c r="F70" i="16" a="1"/>
  <c r="F31" i="16" a="1"/>
  <c r="F52" i="16" a="1"/>
  <c r="F101" i="16" a="1"/>
  <c r="F92" i="16" a="1"/>
  <c r="F71" i="16" a="1"/>
  <c r="F69" i="16" a="1"/>
  <c r="F117" i="16" a="1"/>
  <c r="F53" i="16" a="1"/>
  <c r="F86" i="16" a="1"/>
  <c r="F88" i="16" a="1"/>
  <c r="F112" i="16" a="1"/>
  <c r="F37" i="16" a="1"/>
  <c r="F83" i="16" a="1"/>
  <c r="F76" i="16" a="1"/>
  <c r="F109" i="16" l="1"/>
  <c r="F93" i="16"/>
  <c r="F79" i="16"/>
  <c r="F100" i="16"/>
  <c r="F92" i="16"/>
  <c r="F36" i="16"/>
  <c r="F113" i="16"/>
  <c r="F38" i="16"/>
  <c r="E37" i="16" a="1"/>
  <c r="E37" i="16" s="1"/>
  <c r="E61" i="16" a="1"/>
  <c r="E61" i="16" s="1"/>
  <c r="E78" i="16" a="1"/>
  <c r="E78" i="16" s="1"/>
  <c r="E90" i="16" a="1"/>
  <c r="E90" i="16" s="1"/>
  <c r="E102" i="16" a="1"/>
  <c r="E102" i="16" s="1"/>
  <c r="E38" i="16" a="1"/>
  <c r="E38" i="16" s="1"/>
  <c r="E67" i="16" a="1"/>
  <c r="E67" i="16" s="1"/>
  <c r="E91" i="16" a="1"/>
  <c r="E91" i="16" s="1"/>
  <c r="E39" i="16" a="1"/>
  <c r="E39" i="16" s="1"/>
  <c r="E51" i="16" a="1"/>
  <c r="E51" i="16" s="1"/>
  <c r="E68" i="16" a="1"/>
  <c r="E68" i="16" s="1"/>
  <c r="E80" i="16" a="1"/>
  <c r="E80" i="16" s="1"/>
  <c r="E92" i="16" a="1"/>
  <c r="E92" i="16" s="1"/>
  <c r="H92" i="16" s="1"/>
  <c r="R92" i="16" s="1"/>
  <c r="E104" i="16" a="1"/>
  <c r="E104" i="16" s="1"/>
  <c r="E28" i="16" a="1"/>
  <c r="E28" i="16" s="1"/>
  <c r="E40" i="16" a="1"/>
  <c r="E40" i="16" s="1"/>
  <c r="E52" i="16" a="1"/>
  <c r="E52" i="16" s="1"/>
  <c r="E69" i="16" a="1"/>
  <c r="E69" i="16" s="1"/>
  <c r="E81" i="16" a="1"/>
  <c r="E81" i="16" s="1"/>
  <c r="E93" i="16" a="1"/>
  <c r="E93" i="16" s="1"/>
  <c r="E106" i="16" a="1"/>
  <c r="E106" i="16" s="1"/>
  <c r="E29" i="16" a="1"/>
  <c r="E29" i="16" s="1"/>
  <c r="E41" i="16" a="1"/>
  <c r="E41" i="16" s="1"/>
  <c r="E53" i="16" a="1"/>
  <c r="E53" i="16" s="1"/>
  <c r="E70" i="16" a="1"/>
  <c r="E70" i="16" s="1"/>
  <c r="E82" i="16" a="1"/>
  <c r="E82" i="16" s="1"/>
  <c r="E94" i="16" a="1"/>
  <c r="E94" i="16" s="1"/>
  <c r="E107" i="16" a="1"/>
  <c r="E107" i="16" s="1"/>
  <c r="E30" i="16" a="1"/>
  <c r="E30" i="16" s="1"/>
  <c r="E42" i="16" a="1"/>
  <c r="E42" i="16" s="1"/>
  <c r="E54" i="16" a="1"/>
  <c r="E54" i="16" s="1"/>
  <c r="E71" i="16" a="1"/>
  <c r="E71" i="16" s="1"/>
  <c r="E83" i="16" a="1"/>
  <c r="E83" i="16" s="1"/>
  <c r="E95" i="16" a="1"/>
  <c r="E95" i="16" s="1"/>
  <c r="E108" i="16" a="1"/>
  <c r="E108" i="16" s="1"/>
  <c r="E31" i="16" a="1"/>
  <c r="E31" i="16" s="1"/>
  <c r="E43" i="16" a="1"/>
  <c r="E43" i="16" s="1"/>
  <c r="E55" i="16" a="1"/>
  <c r="E55" i="16" s="1"/>
  <c r="E72" i="16" a="1"/>
  <c r="E72" i="16" s="1"/>
  <c r="E84" i="16" a="1"/>
  <c r="E84" i="16" s="1"/>
  <c r="E96" i="16" a="1"/>
  <c r="E96" i="16" s="1"/>
  <c r="E109" i="16" a="1"/>
  <c r="E109" i="16" s="1"/>
  <c r="E32" i="16" a="1"/>
  <c r="E32" i="16" s="1"/>
  <c r="E56" i="16" a="1"/>
  <c r="E56" i="16" s="1"/>
  <c r="E73" i="16" a="1"/>
  <c r="E73" i="16" s="1"/>
  <c r="E85" i="16" a="1"/>
  <c r="E85" i="16" s="1"/>
  <c r="E97" i="16" a="1"/>
  <c r="E97" i="16" s="1"/>
  <c r="E110" i="16" a="1"/>
  <c r="E110" i="16" s="1"/>
  <c r="E33" i="16" a="1"/>
  <c r="E33" i="16" s="1"/>
  <c r="E44" i="16" a="1"/>
  <c r="E44" i="16" s="1"/>
  <c r="E57" i="16" a="1"/>
  <c r="E57" i="16" s="1"/>
  <c r="E74" i="16" a="1"/>
  <c r="E74" i="16" s="1"/>
  <c r="E86" i="16" a="1"/>
  <c r="E86" i="16" s="1"/>
  <c r="E98" i="16" a="1"/>
  <c r="E98" i="16" s="1"/>
  <c r="E112" i="16" a="1"/>
  <c r="E112" i="16" s="1"/>
  <c r="E34" i="16" a="1"/>
  <c r="E34" i="16" s="1"/>
  <c r="E45" i="16" a="1"/>
  <c r="E45" i="16" s="1"/>
  <c r="E58" i="16" a="1"/>
  <c r="E58" i="16" s="1"/>
  <c r="E75" i="16" a="1"/>
  <c r="E75" i="16" s="1"/>
  <c r="E87" i="16" a="1"/>
  <c r="E87" i="16" s="1"/>
  <c r="E99" i="16" a="1"/>
  <c r="E99" i="16" s="1"/>
  <c r="E113" i="16" a="1"/>
  <c r="E113" i="16" s="1"/>
  <c r="E35" i="16" a="1"/>
  <c r="E35" i="16" s="1"/>
  <c r="E46" i="16" a="1"/>
  <c r="E46" i="16" s="1"/>
  <c r="E59" i="16" a="1"/>
  <c r="E59" i="16" s="1"/>
  <c r="E76" i="16" a="1"/>
  <c r="E76" i="16" s="1"/>
  <c r="E88" i="16" a="1"/>
  <c r="E88" i="16" s="1"/>
  <c r="E100" i="16" a="1"/>
  <c r="E100" i="16" s="1"/>
  <c r="E117" i="16" a="1"/>
  <c r="E117" i="16" s="1"/>
  <c r="E36" i="16" a="1"/>
  <c r="E36" i="16" s="1"/>
  <c r="E48" i="16" a="1"/>
  <c r="E48" i="16" s="1"/>
  <c r="E60" i="16" a="1"/>
  <c r="E60" i="16" s="1"/>
  <c r="E77" i="16" a="1"/>
  <c r="E77" i="16" s="1"/>
  <c r="E89" i="16" a="1"/>
  <c r="E89" i="16" s="1"/>
  <c r="E101" i="16" a="1"/>
  <c r="E101" i="16" s="1"/>
  <c r="E118" i="16" a="1"/>
  <c r="E118" i="16" s="1"/>
  <c r="E49" i="16" a="1"/>
  <c r="E49" i="16" s="1"/>
  <c r="E119" i="16" a="1"/>
  <c r="E119" i="16" s="1"/>
  <c r="E50" i="16" a="1"/>
  <c r="E50" i="16" s="1"/>
  <c r="E79" i="16" a="1"/>
  <c r="E79" i="16" s="1"/>
  <c r="E103" i="16" a="1"/>
  <c r="E103" i="16" s="1"/>
  <c r="F76" i="16"/>
  <c r="F78" i="16"/>
  <c r="F77" i="16"/>
  <c r="F72" i="16"/>
  <c r="F71" i="16"/>
  <c r="F70" i="16"/>
  <c r="F69" i="16"/>
  <c r="F68" i="16"/>
  <c r="F67" i="16"/>
  <c r="F119" i="16"/>
  <c r="F108" i="16"/>
  <c r="F112" i="16"/>
  <c r="F117" i="16"/>
  <c r="F106" i="16"/>
  <c r="F107" i="16"/>
  <c r="F99" i="16"/>
  <c r="F81" i="16"/>
  <c r="F82" i="16"/>
  <c r="F87" i="16"/>
  <c r="F101" i="16"/>
  <c r="F95" i="16"/>
  <c r="F104" i="16"/>
  <c r="F84" i="16"/>
  <c r="F83" i="16"/>
  <c r="F97" i="16"/>
  <c r="F89" i="16"/>
  <c r="F86" i="16"/>
  <c r="F88" i="16"/>
  <c r="F51" i="16"/>
  <c r="F61" i="16"/>
  <c r="F48" i="16"/>
  <c r="F52" i="16"/>
  <c r="F49" i="16"/>
  <c r="F53" i="16"/>
  <c r="F37" i="16"/>
  <c r="F50" i="16"/>
  <c r="F60" i="16"/>
  <c r="F29" i="16"/>
  <c r="F30" i="16"/>
  <c r="F31" i="16"/>
  <c r="D17" i="15"/>
  <c r="D18" i="15"/>
  <c r="D16" i="15"/>
  <c r="D15" i="15"/>
  <c r="D14" i="15"/>
  <c r="D13" i="15"/>
  <c r="D18" i="13"/>
  <c r="D17" i="13"/>
  <c r="D16" i="13"/>
  <c r="D15" i="13"/>
  <c r="D14" i="13"/>
  <c r="D13" i="13"/>
  <c r="D13" i="14"/>
  <c r="D14" i="14"/>
  <c r="D15" i="14"/>
  <c r="D18" i="14"/>
  <c r="D17" i="14"/>
  <c r="S156" i="15"/>
  <c r="S155" i="15"/>
  <c r="A124" i="15"/>
  <c r="A159" i="15" s="1"/>
  <c r="J116" i="15"/>
  <c r="J115" i="15"/>
  <c r="J114" i="15"/>
  <c r="J113" i="15"/>
  <c r="A94" i="15"/>
  <c r="A112" i="15" s="1"/>
  <c r="A64" i="15"/>
  <c r="A82" i="15" s="1"/>
  <c r="A21" i="15"/>
  <c r="A59" i="15" s="1"/>
  <c r="S156" i="14"/>
  <c r="S155" i="14"/>
  <c r="A124" i="14"/>
  <c r="A159" i="14" s="1"/>
  <c r="J116" i="14"/>
  <c r="J115" i="14"/>
  <c r="J114" i="14"/>
  <c r="J113" i="14"/>
  <c r="A94" i="14"/>
  <c r="A112" i="14" s="1"/>
  <c r="A64" i="14"/>
  <c r="A88" i="14" s="1"/>
  <c r="A21" i="14"/>
  <c r="A59" i="14" s="1"/>
  <c r="D16" i="14"/>
  <c r="S156" i="13"/>
  <c r="S155" i="13"/>
  <c r="A124" i="13"/>
  <c r="A159" i="13" s="1"/>
  <c r="J116" i="13"/>
  <c r="J115" i="13"/>
  <c r="J114" i="13"/>
  <c r="J113" i="13"/>
  <c r="A94" i="13"/>
  <c r="A112" i="13" s="1"/>
  <c r="A64" i="13"/>
  <c r="A82" i="13" s="1"/>
  <c r="A21" i="13"/>
  <c r="A59" i="13" s="1"/>
  <c r="S155" i="2"/>
  <c r="S156" i="2"/>
  <c r="D16" i="2"/>
  <c r="G79" i="16" l="1"/>
  <c r="G92" i="16"/>
  <c r="G119" i="16"/>
  <c r="G76" i="16"/>
  <c r="G52" i="16"/>
  <c r="G101" i="16"/>
  <c r="G78" i="16"/>
  <c r="G30" i="16"/>
  <c r="G38" i="16"/>
  <c r="R38" i="16"/>
  <c r="G112" i="16"/>
  <c r="G113" i="16"/>
  <c r="G104" i="16"/>
  <c r="G61" i="16"/>
  <c r="G82" i="16"/>
  <c r="G89" i="16"/>
  <c r="G71" i="16"/>
  <c r="G95" i="16"/>
  <c r="G67" i="16"/>
  <c r="G70" i="16"/>
  <c r="G88" i="16"/>
  <c r="G37" i="16"/>
  <c r="G99" i="16"/>
  <c r="G77" i="16"/>
  <c r="G48" i="16"/>
  <c r="G87" i="16"/>
  <c r="G51" i="16"/>
  <c r="G60" i="16"/>
  <c r="G86" i="16"/>
  <c r="G50" i="16"/>
  <c r="G81" i="16"/>
  <c r="G69" i="16"/>
  <c r="G83" i="16"/>
  <c r="G107" i="16"/>
  <c r="G49" i="16"/>
  <c r="G106" i="16"/>
  <c r="G108" i="16"/>
  <c r="G31" i="16"/>
  <c r="G29" i="16"/>
  <c r="G100" i="16"/>
  <c r="G68" i="16"/>
  <c r="G97" i="16"/>
  <c r="G53" i="16"/>
  <c r="G36" i="16"/>
  <c r="G84" i="16"/>
  <c r="G117" i="16"/>
  <c r="G72" i="16"/>
  <c r="A131" i="15"/>
  <c r="A46" i="15"/>
  <c r="A88" i="15"/>
  <c r="A35" i="15"/>
  <c r="A82" i="14"/>
  <c r="A35" i="14"/>
  <c r="A46" i="13"/>
  <c r="A35" i="13"/>
  <c r="A88" i="13"/>
  <c r="A131" i="13"/>
  <c r="A118" i="13"/>
  <c r="A154" i="13"/>
  <c r="A118" i="14"/>
  <c r="A154" i="14"/>
  <c r="A46" i="14"/>
  <c r="A131" i="14"/>
  <c r="A118" i="15"/>
  <c r="A154" i="15"/>
  <c r="A126" i="15"/>
  <c r="A144" i="15"/>
  <c r="A139" i="15"/>
  <c r="A151" i="15"/>
  <c r="A126" i="14"/>
  <c r="A144" i="14"/>
  <c r="A139" i="14"/>
  <c r="A151" i="14"/>
  <c r="A139" i="13"/>
  <c r="A126" i="13"/>
  <c r="A144" i="13"/>
  <c r="A151" i="13"/>
  <c r="A124" i="2"/>
  <c r="J116" i="2"/>
  <c r="J115" i="2"/>
  <c r="J114" i="2"/>
  <c r="J113" i="2"/>
  <c r="A94" i="2"/>
  <c r="A118" i="2" s="1"/>
  <c r="A21" i="2"/>
  <c r="A59" i="2" s="1"/>
  <c r="A64" i="2"/>
  <c r="A82" i="2" s="1"/>
  <c r="R112" i="2" l="1"/>
  <c r="R113" i="2" s="1"/>
  <c r="R114" i="2" s="1"/>
  <c r="R115" i="2" s="1"/>
  <c r="A159" i="2"/>
  <c r="A126" i="2"/>
  <c r="A151" i="2"/>
  <c r="A154" i="2"/>
  <c r="A139" i="2"/>
  <c r="A144" i="2"/>
  <c r="A131" i="2"/>
  <c r="A35" i="2"/>
  <c r="A46" i="2"/>
  <c r="A112" i="2"/>
  <c r="A88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<sst xmlns="http://schemas.openxmlformats.org/spreadsheetml/2006/main" count="1882" uniqueCount="436">
  <si>
    <t>A</t>
  </si>
  <si>
    <t>u</t>
  </si>
  <si>
    <t>a*</t>
  </si>
  <si>
    <t>c)</t>
  </si>
  <si>
    <t>b)</t>
  </si>
  <si>
    <t>a)</t>
  </si>
  <si>
    <t>e)</t>
  </si>
  <si>
    <t>d)</t>
  </si>
  <si>
    <t>mm</t>
  </si>
  <si>
    <t>kN</t>
  </si>
  <si>
    <t xml:space="preserve">
</t>
  </si>
  <si>
    <t>approver</t>
  </si>
  <si>
    <t>checker</t>
  </si>
  <si>
    <t>author</t>
  </si>
  <si>
    <t>date</t>
  </si>
  <si>
    <t>description</t>
  </si>
  <si>
    <t>version</t>
  </si>
  <si>
    <t>Describe here the template. This text should provide the user with instruction about how to use the template.</t>
  </si>
  <si>
    <t>1.5</t>
  </si>
  <si>
    <t>ver.</t>
  </si>
  <si>
    <t>A4 Excel Calculation Template</t>
  </si>
  <si>
    <t>Flange Segment Parameters</t>
  </si>
  <si>
    <t>Distance between inner face of the flange and center of the bolt hole:</t>
  </si>
  <si>
    <t>a =</t>
  </si>
  <si>
    <t>Distance between center of the bolt hole and center-line of the shell:</t>
  </si>
  <si>
    <t>b =</t>
  </si>
  <si>
    <t>Shell thickness:</t>
  </si>
  <si>
    <t>s =</t>
  </si>
  <si>
    <t>Flange thickness:</t>
  </si>
  <si>
    <t>t =</t>
  </si>
  <si>
    <r>
      <t>Flange Segment Analytical Model for 30</t>
    </r>
    <r>
      <rPr>
        <b/>
        <sz val="14"/>
        <color rgb="FF0095D3"/>
        <rFont val="Aptos Narrow"/>
        <family val="2"/>
      </rPr>
      <t>°</t>
    </r>
    <r>
      <rPr>
        <b/>
        <sz val="14"/>
        <color rgb="FF0095D3"/>
        <rFont val="Arial"/>
        <family val="2"/>
      </rPr>
      <t xml:space="preserve"> gap size</t>
    </r>
  </si>
  <si>
    <t>R =</t>
  </si>
  <si>
    <t>f)</t>
  </si>
  <si>
    <r>
      <t>Z</t>
    </r>
    <r>
      <rPr>
        <vertAlign val="subscript"/>
        <sz val="10"/>
        <color rgb="FF000000"/>
        <rFont val="Consolas"/>
        <family val="3"/>
      </rPr>
      <t>dw</t>
    </r>
    <r>
      <rPr>
        <sz val="10"/>
        <color rgb="FF000000"/>
        <rFont val="Consolas"/>
        <family val="3"/>
      </rPr>
      <t xml:space="preserve"> =</t>
    </r>
  </si>
  <si>
    <t>Bolt pretension:</t>
  </si>
  <si>
    <t>g)</t>
  </si>
  <si>
    <t>h)</t>
  </si>
  <si>
    <t>i)</t>
  </si>
  <si>
    <r>
      <t>F</t>
    </r>
    <r>
      <rPr>
        <vertAlign val="subscript"/>
        <sz val="10"/>
        <color rgb="FF000000"/>
        <rFont val="Consolas"/>
        <family val="3"/>
      </rPr>
      <t>v</t>
    </r>
    <r>
      <rPr>
        <sz val="10"/>
        <color rgb="FF000000"/>
        <rFont val="Consolas"/>
        <family val="3"/>
      </rPr>
      <t xml:space="preserve"> =</t>
    </r>
  </si>
  <si>
    <t>Bolt thread pitch:</t>
  </si>
  <si>
    <t>j)</t>
  </si>
  <si>
    <t>P =</t>
  </si>
  <si>
    <t>M80</t>
  </si>
  <si>
    <t>Bolt hole diameter:</t>
  </si>
  <si>
    <t>Washer diameter:</t>
  </si>
  <si>
    <t>Gap height:</t>
  </si>
  <si>
    <t>Gap length:</t>
  </si>
  <si>
    <r>
      <t>L</t>
    </r>
    <r>
      <rPr>
        <vertAlign val="subscript"/>
        <sz val="10"/>
        <color rgb="FF000000"/>
        <rFont val="Consolas"/>
        <family val="3"/>
      </rPr>
      <t>gap</t>
    </r>
    <r>
      <rPr>
        <sz val="10"/>
        <color rgb="FF000000"/>
        <rFont val="Consolas"/>
        <family val="3"/>
      </rPr>
      <t xml:space="preserve"> =</t>
    </r>
  </si>
  <si>
    <r>
      <t>u</t>
    </r>
    <r>
      <rPr>
        <vertAlign val="subscript"/>
        <sz val="10"/>
        <color rgb="FF000000"/>
        <rFont val="Consolas"/>
        <family val="3"/>
      </rPr>
      <t>gap</t>
    </r>
    <r>
      <rPr>
        <sz val="10"/>
        <color rgb="FF000000"/>
        <rFont val="Consolas"/>
        <family val="3"/>
      </rPr>
      <t xml:space="preserve"> =</t>
    </r>
  </si>
  <si>
    <r>
      <t>D</t>
    </r>
    <r>
      <rPr>
        <vertAlign val="subscript"/>
        <sz val="10"/>
        <color rgb="FF000000"/>
        <rFont val="Consolas"/>
        <family val="3"/>
      </rPr>
      <t>o</t>
    </r>
    <r>
      <rPr>
        <sz val="10"/>
        <color rgb="FF000000"/>
        <rFont val="Consolas"/>
        <family val="3"/>
      </rPr>
      <t xml:space="preserve"> =</t>
    </r>
  </si>
  <si>
    <r>
      <t>D</t>
    </r>
    <r>
      <rPr>
        <vertAlign val="subscript"/>
        <sz val="10"/>
        <color rgb="FF000000"/>
        <rFont val="Consolas"/>
        <family val="3"/>
      </rPr>
      <t>w</t>
    </r>
    <r>
      <rPr>
        <sz val="10"/>
        <color rgb="FF000000"/>
        <rFont val="Consolas"/>
        <family val="3"/>
      </rPr>
      <t xml:space="preserve"> =</t>
    </r>
  </si>
  <si>
    <t>k)</t>
  </si>
  <si>
    <t>Flange modulus of elasticity:</t>
  </si>
  <si>
    <t>Flange shear modulus:</t>
  </si>
  <si>
    <t>E =</t>
  </si>
  <si>
    <t>G =</t>
  </si>
  <si>
    <t>GPa</t>
  </si>
  <si>
    <r>
      <t>F</t>
    </r>
    <r>
      <rPr>
        <b/>
        <vertAlign val="subscript"/>
        <sz val="12"/>
        <color rgb="FF0095D3"/>
        <rFont val="Arial"/>
        <family val="2"/>
      </rPr>
      <t>s</t>
    </r>
    <r>
      <rPr>
        <b/>
        <sz val="12"/>
        <color rgb="FF0095D3"/>
        <rFont val="Arial"/>
        <family val="2"/>
      </rPr>
      <t>(Z): Bolt Axial Force as a function of the shell pull</t>
    </r>
  </si>
  <si>
    <t>Ms [N·m}:</t>
  </si>
  <si>
    <t>Reference points</t>
  </si>
  <si>
    <t>Z [kN]</t>
  </si>
  <si>
    <t>Fs [kN]</t>
  </si>
  <si>
    <t>Point 2: flange at ultimate limit state</t>
  </si>
  <si>
    <t>Point 3: flange at small deformations</t>
  </si>
  <si>
    <t>Polynomial coefficients</t>
  </si>
  <si>
    <t>Point 4: gap completely closed</t>
  </si>
  <si>
    <r>
      <t>Compressive zone (Z4 &lt; Z &lt; Z</t>
    </r>
    <r>
      <rPr>
        <vertAlign val="subscript"/>
        <sz val="10"/>
        <color rgb="FF000000"/>
        <rFont val="Arial"/>
        <family val="2"/>
      </rPr>
      <t>1</t>
    </r>
    <r>
      <rPr>
        <sz val="10"/>
        <color rgb="FF000000"/>
        <rFont val="Arial"/>
        <family val="2"/>
      </rPr>
      <t>):</t>
    </r>
  </si>
  <si>
    <r>
      <t>Closed gap zone (Z &lt; Z</t>
    </r>
    <r>
      <rPr>
        <vertAlign val="subscript"/>
        <sz val="10"/>
        <color rgb="FF000000"/>
        <rFont val="Arial"/>
        <family val="2"/>
      </rPr>
      <t>4</t>
    </r>
    <r>
      <rPr>
        <sz val="10"/>
        <color rgb="FF000000"/>
        <rFont val="Arial"/>
        <family val="2"/>
      </rPr>
      <t>):</t>
    </r>
  </si>
  <si>
    <r>
      <t>c</t>
    </r>
    <r>
      <rPr>
        <b/>
        <vertAlign val="subscript"/>
        <sz val="10"/>
        <color rgb="FFFFFFFF"/>
        <rFont val="Arial"/>
        <family val="2"/>
      </rPr>
      <t>1</t>
    </r>
  </si>
  <si>
    <r>
      <t>c</t>
    </r>
    <r>
      <rPr>
        <b/>
        <vertAlign val="subscript"/>
        <sz val="10"/>
        <color rgb="FFFFFFFF"/>
        <rFont val="Arial"/>
        <family val="2"/>
      </rPr>
      <t>2</t>
    </r>
  </si>
  <si>
    <r>
      <t>M</t>
    </r>
    <r>
      <rPr>
        <b/>
        <vertAlign val="subscript"/>
        <sz val="12"/>
        <color rgb="FF0095D3"/>
        <rFont val="Arial"/>
        <family val="2"/>
      </rPr>
      <t>s</t>
    </r>
    <r>
      <rPr>
        <b/>
        <sz val="12"/>
        <color rgb="FF0095D3"/>
        <rFont val="Arial"/>
        <family val="2"/>
      </rPr>
      <t>(Z): Bolt Bending Moment as a function of the shell pull</t>
    </r>
  </si>
  <si>
    <t>Ms [N·m]</t>
  </si>
  <si>
    <t>Reduced prying distance:</t>
  </si>
  <si>
    <t>a' =</t>
  </si>
  <si>
    <t>Ideal shell force at tensile ULS:</t>
  </si>
  <si>
    <r>
      <t>Z</t>
    </r>
    <r>
      <rPr>
        <vertAlign val="subscript"/>
        <sz val="10"/>
        <color rgb="FF000000"/>
        <rFont val="Consolas"/>
        <family val="3"/>
      </rPr>
      <t>0</t>
    </r>
    <r>
      <rPr>
        <sz val="10"/>
        <color rgb="FF000000"/>
        <rFont val="Consolas"/>
        <family val="3"/>
      </rPr>
      <t xml:space="preserve"> =</t>
    </r>
  </si>
  <si>
    <t>Cantilever shell force at tensile ULS:</t>
  </si>
  <si>
    <r>
      <t>Z</t>
    </r>
    <r>
      <rPr>
        <vertAlign val="subscript"/>
        <sz val="10"/>
        <color rgb="FF000000"/>
        <rFont val="Consolas"/>
        <family val="3"/>
      </rPr>
      <t>2,tilde</t>
    </r>
    <r>
      <rPr>
        <sz val="10"/>
        <color rgb="FF000000"/>
        <rFont val="Consolas"/>
        <family val="3"/>
      </rPr>
      <t xml:space="preserve"> =</t>
    </r>
  </si>
  <si>
    <t>Bolt bending stiffness:</t>
  </si>
  <si>
    <t>kN·m/rad</t>
  </si>
  <si>
    <t>Gap stiffness:</t>
  </si>
  <si>
    <r>
      <t>k</t>
    </r>
    <r>
      <rPr>
        <vertAlign val="subscript"/>
        <sz val="10"/>
        <color rgb="FF000000"/>
        <rFont val="Consolas"/>
        <family val="3"/>
      </rPr>
      <t>gap,tot</t>
    </r>
    <r>
      <rPr>
        <sz val="10"/>
        <color rgb="FF000000"/>
        <rFont val="Consolas"/>
        <family val="3"/>
      </rPr>
      <t xml:space="preserve"> =</t>
    </r>
  </si>
  <si>
    <t>kN/mm/m</t>
  </si>
  <si>
    <t>Shell force at closed gap:</t>
  </si>
  <si>
    <r>
      <rPr>
        <sz val="10"/>
        <color rgb="FF000000"/>
        <rFont val="Aptos Narrow"/>
        <family val="2"/>
      </rPr>
      <t>Δ</t>
    </r>
    <r>
      <rPr>
        <sz val="10"/>
        <color rgb="FF000000"/>
        <rFont val="Consolas"/>
        <family val="3"/>
      </rPr>
      <t>Z</t>
    </r>
    <r>
      <rPr>
        <vertAlign val="subscript"/>
        <sz val="10"/>
        <color rgb="FF000000"/>
        <rFont val="Consolas"/>
        <family val="3"/>
      </rPr>
      <t>gap</t>
    </r>
    <r>
      <rPr>
        <sz val="10"/>
        <color rgb="FF000000"/>
        <rFont val="Consolas"/>
        <family val="3"/>
      </rPr>
      <t xml:space="preserve"> =</t>
    </r>
  </si>
  <si>
    <t>Stiffness correction factor:</t>
  </si>
  <si>
    <r>
      <t>α</t>
    </r>
    <r>
      <rPr>
        <vertAlign val="subscript"/>
        <sz val="10"/>
        <color rgb="FF000000"/>
        <rFont val="Aptos Narrow"/>
        <family val="2"/>
      </rPr>
      <t>k</t>
    </r>
    <r>
      <rPr>
        <sz val="10"/>
        <color rgb="FF000000"/>
        <rFont val="Aptos Narrow"/>
        <family val="2"/>
      </rPr>
      <t xml:space="preserve"> =</t>
    </r>
  </si>
  <si>
    <t>-</t>
  </si>
  <si>
    <t>Fs polynomial initial slope:</t>
  </si>
  <si>
    <r>
      <rPr>
        <sz val="10"/>
        <color rgb="FF000000"/>
        <rFont val="Aptos Narrow"/>
        <family val="2"/>
      </rPr>
      <t>χ</t>
    </r>
    <r>
      <rPr>
        <vertAlign val="subscript"/>
        <sz val="10"/>
        <color rgb="FF000000"/>
        <rFont val="Consolas"/>
        <family val="3"/>
      </rPr>
      <t>ini,mod</t>
    </r>
    <r>
      <rPr>
        <sz val="10"/>
        <color rgb="FF000000"/>
        <rFont val="Consolas"/>
        <family val="3"/>
      </rPr>
      <t xml:space="preserve"> =</t>
    </r>
  </si>
  <si>
    <t>Fs polynomial true initial slope:</t>
  </si>
  <si>
    <r>
      <rPr>
        <sz val="10"/>
        <color rgb="FF000000"/>
        <rFont val="Aptos Narrow"/>
        <family val="2"/>
      </rPr>
      <t>χ</t>
    </r>
    <r>
      <rPr>
        <vertAlign val="subscript"/>
        <sz val="10"/>
        <color rgb="FF000000"/>
        <rFont val="Consolas"/>
        <family val="3"/>
      </rPr>
      <t>ini,true</t>
    </r>
    <r>
      <rPr>
        <sz val="10"/>
        <color rgb="FF000000"/>
        <rFont val="Consolas"/>
        <family val="3"/>
      </rPr>
      <t xml:space="preserve"> =</t>
    </r>
  </si>
  <si>
    <t>Ms polynomial true initial slope:</t>
  </si>
  <si>
    <r>
      <t>χ</t>
    </r>
    <r>
      <rPr>
        <vertAlign val="subscript"/>
        <sz val="10"/>
        <color rgb="FF000000"/>
        <rFont val="Consolas"/>
        <family val="3"/>
      </rPr>
      <t>ini,true,M</t>
    </r>
    <r>
      <rPr>
        <sz val="10"/>
        <color rgb="FF000000"/>
        <rFont val="Consolas"/>
        <family val="3"/>
      </rPr>
      <t xml:space="preserve"> =</t>
    </r>
  </si>
  <si>
    <t>D</t>
  </si>
  <si>
    <r>
      <t>c</t>
    </r>
    <r>
      <rPr>
        <b/>
        <vertAlign val="subscript"/>
        <sz val="10"/>
        <color rgb="FFFFFFFF"/>
        <rFont val="Arial"/>
        <family val="2"/>
      </rPr>
      <t>0</t>
    </r>
  </si>
  <si>
    <t>MPa</t>
  </si>
  <si>
    <t>Date:</t>
  </si>
  <si>
    <t>Revision:</t>
  </si>
  <si>
    <t>Subject:</t>
  </si>
  <si>
    <t>Project name:</t>
  </si>
  <si>
    <t>Client:</t>
  </si>
  <si>
    <t>Project number:</t>
  </si>
  <si>
    <t>SP2200052</t>
  </si>
  <si>
    <t>Bolt and Beautiful</t>
  </si>
  <si>
    <t>Stichting GROW</t>
  </si>
  <si>
    <t>Flange Parameters</t>
  </si>
  <si>
    <t>Bolt parameters</t>
  </si>
  <si>
    <t>Gap parameters</t>
  </si>
  <si>
    <t>Bolt nominal diameter:</t>
  </si>
  <si>
    <t>Bolt shank diameter:</t>
  </si>
  <si>
    <t>Bolt shank length:</t>
  </si>
  <si>
    <r>
      <t>D</t>
    </r>
    <r>
      <rPr>
        <vertAlign val="subscript"/>
        <sz val="10"/>
        <color rgb="FF000000"/>
        <rFont val="Consolas"/>
        <family val="3"/>
      </rPr>
      <t>n</t>
    </r>
    <r>
      <rPr>
        <sz val="10"/>
        <color rgb="FF000000"/>
        <rFont val="Consolas"/>
        <family val="3"/>
      </rPr>
      <t xml:space="preserve"> =</t>
    </r>
  </si>
  <si>
    <r>
      <t>D</t>
    </r>
    <r>
      <rPr>
        <vertAlign val="subscript"/>
        <sz val="10"/>
        <color rgb="FF000000"/>
        <rFont val="Consolas"/>
        <family val="3"/>
      </rPr>
      <t>sh</t>
    </r>
    <r>
      <rPr>
        <sz val="10"/>
        <color rgb="FF000000"/>
        <rFont val="Consolas"/>
        <family val="3"/>
      </rPr>
      <t xml:space="preserve"> =</t>
    </r>
  </si>
  <si>
    <r>
      <t>L</t>
    </r>
    <r>
      <rPr>
        <vertAlign val="subscript"/>
        <sz val="10"/>
        <color rgb="FF000000"/>
        <rFont val="Consolas"/>
        <family val="3"/>
      </rPr>
      <t>sh</t>
    </r>
    <r>
      <rPr>
        <sz val="10"/>
        <color rgb="FF000000"/>
        <rFont val="Consolas"/>
        <family val="3"/>
      </rPr>
      <t xml:space="preserve"> =</t>
    </r>
  </si>
  <si>
    <t>Bolt material yield stress:</t>
  </si>
  <si>
    <t>Bolt material ultimate tensile stress:</t>
  </si>
  <si>
    <r>
      <t>f</t>
    </r>
    <r>
      <rPr>
        <vertAlign val="subscript"/>
        <sz val="10"/>
        <color rgb="FF000000"/>
        <rFont val="Consolas"/>
        <family val="3"/>
      </rPr>
      <t>y</t>
    </r>
    <r>
      <rPr>
        <sz val="10"/>
        <color rgb="FF000000"/>
        <rFont val="Consolas"/>
        <family val="3"/>
      </rPr>
      <t xml:space="preserve"> =</t>
    </r>
  </si>
  <si>
    <r>
      <t>f</t>
    </r>
    <r>
      <rPr>
        <vertAlign val="subscript"/>
        <sz val="10"/>
        <color rgb="FF000000"/>
        <rFont val="Consolas"/>
        <family val="3"/>
      </rPr>
      <t>u</t>
    </r>
    <r>
      <rPr>
        <sz val="10"/>
        <color rgb="FF000000"/>
        <rFont val="Consolas"/>
        <family val="3"/>
      </rPr>
      <t xml:space="preserve"> =</t>
    </r>
  </si>
  <si>
    <t>Bolt modulus of elasticity:</t>
  </si>
  <si>
    <t>Z [kN]:</t>
  </si>
  <si>
    <t>Fs [kN}:</t>
  </si>
  <si>
    <t>[Nm]</t>
  </si>
  <si>
    <r>
      <t>M</t>
    </r>
    <r>
      <rPr>
        <vertAlign val="subscript"/>
        <sz val="10"/>
        <color theme="1"/>
        <rFont val="Arial"/>
        <family val="2"/>
      </rPr>
      <t>S,min</t>
    </r>
  </si>
  <si>
    <t>[-]</t>
  </si>
  <si>
    <r>
      <rPr>
        <sz val="10"/>
        <color theme="1"/>
        <rFont val="Symbol"/>
        <family val="1"/>
        <charset val="2"/>
      </rPr>
      <t>c</t>
    </r>
    <r>
      <rPr>
        <vertAlign val="subscript"/>
        <sz val="10"/>
        <color theme="1"/>
        <rFont val="Arial"/>
        <family val="2"/>
      </rPr>
      <t>ini,M</t>
    </r>
  </si>
  <si>
    <r>
      <t>M</t>
    </r>
    <r>
      <rPr>
        <vertAlign val="subscript"/>
        <sz val="10"/>
        <color theme="1"/>
        <rFont val="Arial"/>
        <family val="2"/>
      </rPr>
      <t>S</t>
    </r>
    <r>
      <rPr>
        <sz val="10"/>
        <color theme="1"/>
        <rFont val="Arial"/>
        <family val="1"/>
        <charset val="2"/>
      </rPr>
      <t>(Z)</t>
    </r>
  </si>
  <si>
    <t>[mm]</t>
  </si>
  <si>
    <r>
      <rPr>
        <sz val="10"/>
        <color theme="1"/>
        <rFont val="Symbol"/>
        <family val="1"/>
        <charset val="2"/>
      </rPr>
      <t>c</t>
    </r>
    <r>
      <rPr>
        <vertAlign val="subscript"/>
        <sz val="10"/>
        <color theme="1"/>
        <rFont val="Arial"/>
        <family val="2"/>
      </rPr>
      <t>ini,mod</t>
    </r>
  </si>
  <si>
    <t>[kN]</t>
  </si>
  <si>
    <r>
      <t>F</t>
    </r>
    <r>
      <rPr>
        <vertAlign val="subscript"/>
        <sz val="10"/>
        <color theme="1"/>
        <rFont val="Arial"/>
        <family val="2"/>
      </rPr>
      <t>S,min</t>
    </r>
  </si>
  <si>
    <r>
      <rPr>
        <sz val="10"/>
        <color theme="1"/>
        <rFont val="Symbol"/>
        <family val="1"/>
        <charset val="2"/>
      </rPr>
      <t>c</t>
    </r>
    <r>
      <rPr>
        <vertAlign val="subscript"/>
        <sz val="10"/>
        <color theme="1"/>
        <rFont val="Arial"/>
        <family val="2"/>
      </rPr>
      <t>ini,true</t>
    </r>
  </si>
  <si>
    <r>
      <t>Z</t>
    </r>
    <r>
      <rPr>
        <vertAlign val="subscript"/>
        <sz val="10"/>
        <color theme="1"/>
        <rFont val="Arial"/>
        <family val="2"/>
      </rPr>
      <t>close</t>
    </r>
  </si>
  <si>
    <r>
      <rPr>
        <sz val="10"/>
        <color theme="1"/>
        <rFont val="Symbol"/>
        <family val="1"/>
        <charset val="2"/>
      </rPr>
      <t>D</t>
    </r>
    <r>
      <rPr>
        <sz val="10"/>
        <color theme="1"/>
        <rFont val="Arial"/>
        <family val="2"/>
      </rPr>
      <t>Z</t>
    </r>
    <r>
      <rPr>
        <vertAlign val="subscript"/>
        <sz val="10"/>
        <color theme="1"/>
        <rFont val="Arial"/>
        <family val="2"/>
      </rPr>
      <t>dw</t>
    </r>
  </si>
  <si>
    <r>
      <t>G</t>
    </r>
    <r>
      <rPr>
        <vertAlign val="subscript"/>
        <sz val="10"/>
        <color theme="1"/>
        <rFont val="Arial"/>
        <family val="2"/>
      </rPr>
      <t>twr</t>
    </r>
    <r>
      <rPr>
        <sz val="10"/>
        <color theme="1"/>
        <rFont val="Arial"/>
        <family val="2"/>
      </rPr>
      <t>+G</t>
    </r>
    <r>
      <rPr>
        <vertAlign val="subscript"/>
        <sz val="10"/>
        <color theme="1"/>
        <rFont val="Arial"/>
        <family val="2"/>
      </rPr>
      <t>RNA</t>
    </r>
  </si>
  <si>
    <r>
      <t>Z</t>
    </r>
    <r>
      <rPr>
        <vertAlign val="subscript"/>
        <sz val="10"/>
        <color theme="1"/>
        <rFont val="Arial"/>
        <family val="2"/>
      </rPr>
      <t>2</t>
    </r>
    <r>
      <rPr>
        <sz val="10"/>
        <color theme="1"/>
        <rFont val="Arial"/>
        <family val="2"/>
      </rPr>
      <t>~</t>
    </r>
  </si>
  <si>
    <t>[N/mm/mm]</t>
  </si>
  <si>
    <r>
      <t>k</t>
    </r>
    <r>
      <rPr>
        <vertAlign val="subscript"/>
        <sz val="10"/>
        <color theme="1"/>
        <rFont val="Arial"/>
        <family val="2"/>
      </rPr>
      <t>seg</t>
    </r>
  </si>
  <si>
    <r>
      <rPr>
        <sz val="10"/>
        <color theme="1"/>
        <rFont val="Symbol"/>
        <family val="1"/>
        <charset val="2"/>
      </rPr>
      <t>a</t>
    </r>
    <r>
      <rPr>
        <vertAlign val="subscript"/>
        <sz val="10"/>
        <color theme="1"/>
        <rFont val="Arial"/>
        <family val="2"/>
      </rPr>
      <t>k</t>
    </r>
  </si>
  <si>
    <r>
      <t>Z</t>
    </r>
    <r>
      <rPr>
        <vertAlign val="subscript"/>
        <sz val="10"/>
        <color theme="1"/>
        <rFont val="Arial"/>
        <family val="2"/>
      </rPr>
      <t>0</t>
    </r>
  </si>
  <si>
    <r>
      <t>F</t>
    </r>
    <r>
      <rPr>
        <vertAlign val="subscript"/>
        <sz val="10"/>
        <color theme="1"/>
        <rFont val="Arial"/>
        <family val="2"/>
      </rPr>
      <t>S,0</t>
    </r>
    <r>
      <rPr>
        <sz val="10"/>
        <color theme="1"/>
        <rFont val="Arial"/>
        <family val="2"/>
      </rPr>
      <t>=F</t>
    </r>
    <r>
      <rPr>
        <vertAlign val="subscript"/>
        <sz val="10"/>
        <color theme="1"/>
        <rFont val="Arial"/>
        <family val="2"/>
      </rPr>
      <t>S,2</t>
    </r>
  </si>
  <si>
    <r>
      <rPr>
        <sz val="10"/>
        <color theme="1"/>
        <rFont val="Symbol"/>
        <family val="1"/>
        <charset val="2"/>
      </rPr>
      <t>D</t>
    </r>
    <r>
      <rPr>
        <sz val="10"/>
        <color theme="1"/>
        <rFont val="Arial"/>
        <family val="2"/>
      </rPr>
      <t>Z</t>
    </r>
    <r>
      <rPr>
        <vertAlign val="subscript"/>
        <sz val="10"/>
        <color theme="1"/>
        <rFont val="Arial"/>
        <family val="2"/>
      </rPr>
      <t>gap,tot</t>
    </r>
  </si>
  <si>
    <r>
      <rPr>
        <sz val="10"/>
        <color theme="1"/>
        <rFont val="Symbol"/>
        <family val="1"/>
        <charset val="2"/>
      </rPr>
      <t>D</t>
    </r>
    <r>
      <rPr>
        <sz val="10"/>
        <color theme="1"/>
        <rFont val="Arial"/>
        <family val="2"/>
      </rPr>
      <t>Z</t>
    </r>
    <r>
      <rPr>
        <vertAlign val="subscript"/>
        <sz val="10"/>
        <color theme="1"/>
        <rFont val="Arial"/>
        <family val="2"/>
      </rPr>
      <t>gap,inclination</t>
    </r>
  </si>
  <si>
    <r>
      <t>F</t>
    </r>
    <r>
      <rPr>
        <vertAlign val="subscript"/>
        <sz val="10"/>
        <color theme="1"/>
        <rFont val="Arial"/>
        <family val="2"/>
      </rPr>
      <t>V,c</t>
    </r>
  </si>
  <si>
    <r>
      <t>I</t>
    </r>
    <r>
      <rPr>
        <vertAlign val="subscript"/>
        <sz val="10"/>
        <color theme="1"/>
        <rFont val="Arial"/>
        <family val="2"/>
      </rPr>
      <t>tg</t>
    </r>
  </si>
  <si>
    <t>[mm²]</t>
  </si>
  <si>
    <r>
      <t>A</t>
    </r>
    <r>
      <rPr>
        <vertAlign val="subscript"/>
        <sz val="10"/>
        <color theme="1"/>
        <rFont val="Arial"/>
        <family val="2"/>
      </rPr>
      <t>tg</t>
    </r>
  </si>
  <si>
    <r>
      <rPr>
        <sz val="10"/>
        <color theme="1"/>
        <rFont val="Symbol"/>
        <family val="1"/>
        <charset val="2"/>
      </rPr>
      <t>D</t>
    </r>
    <r>
      <rPr>
        <sz val="10"/>
        <color theme="1"/>
        <rFont val="Arial"/>
        <family val="2"/>
      </rPr>
      <t>Z</t>
    </r>
    <r>
      <rPr>
        <vertAlign val="subscript"/>
        <sz val="10"/>
        <color theme="1"/>
        <rFont val="Arial"/>
        <family val="2"/>
      </rPr>
      <t>gap,c</t>
    </r>
  </si>
  <si>
    <r>
      <t>k</t>
    </r>
    <r>
      <rPr>
        <vertAlign val="subscript"/>
        <sz val="10"/>
        <color theme="1"/>
        <rFont val="Arial"/>
        <family val="2"/>
      </rPr>
      <t>fl</t>
    </r>
  </si>
  <si>
    <r>
      <t>I</t>
    </r>
    <r>
      <rPr>
        <vertAlign val="subscript"/>
        <sz val="10"/>
        <color theme="1"/>
        <rFont val="Arial"/>
        <family val="2"/>
      </rPr>
      <t>cf</t>
    </r>
  </si>
  <si>
    <r>
      <t>A</t>
    </r>
    <r>
      <rPr>
        <vertAlign val="subscript"/>
        <sz val="10"/>
        <color theme="1"/>
        <rFont val="Arial"/>
        <family val="2"/>
      </rPr>
      <t>cf</t>
    </r>
  </si>
  <si>
    <r>
      <t>k</t>
    </r>
    <r>
      <rPr>
        <vertAlign val="subscript"/>
        <sz val="10"/>
        <color theme="1"/>
        <rFont val="Arial"/>
        <family val="2"/>
      </rPr>
      <t>fac</t>
    </r>
  </si>
  <si>
    <t>Value used</t>
  </si>
  <si>
    <r>
      <t>k</t>
    </r>
    <r>
      <rPr>
        <vertAlign val="subscript"/>
        <sz val="10"/>
        <color theme="1"/>
        <rFont val="Arial"/>
        <family val="2"/>
      </rPr>
      <t>shell,ini</t>
    </r>
  </si>
  <si>
    <t>Simplified formula</t>
  </si>
  <si>
    <t>Interpolated value</t>
  </si>
  <si>
    <r>
      <t>k</t>
    </r>
    <r>
      <rPr>
        <vertAlign val="subscript"/>
        <sz val="10"/>
        <color theme="1"/>
        <rFont val="Arial"/>
        <family val="2"/>
      </rPr>
      <t>gap,tot</t>
    </r>
  </si>
  <si>
    <r>
      <rPr>
        <sz val="10"/>
        <color theme="1"/>
        <rFont val="Symbol"/>
        <family val="1"/>
        <charset val="2"/>
      </rPr>
      <t>D</t>
    </r>
    <r>
      <rPr>
        <sz val="10"/>
        <color theme="1"/>
        <rFont val="Arial"/>
        <family val="2"/>
      </rPr>
      <t>Z</t>
    </r>
    <r>
      <rPr>
        <vertAlign val="subscript"/>
        <sz val="10"/>
        <color theme="1"/>
        <rFont val="Arial"/>
        <family val="2"/>
      </rPr>
      <t>gap</t>
    </r>
  </si>
  <si>
    <t>Summarized formula for bolt force curve</t>
  </si>
  <si>
    <r>
      <t>F</t>
    </r>
    <r>
      <rPr>
        <vertAlign val="subscript"/>
        <sz val="10"/>
        <color theme="1"/>
        <rFont val="Arial"/>
        <family val="2"/>
      </rPr>
      <t>S</t>
    </r>
    <r>
      <rPr>
        <sz val="10"/>
        <color theme="1"/>
        <rFont val="Arial"/>
        <family val="2"/>
      </rPr>
      <t>(Z)</t>
    </r>
  </si>
  <si>
    <r>
      <t>F</t>
    </r>
    <r>
      <rPr>
        <vertAlign val="subscript"/>
        <sz val="10"/>
        <color theme="1"/>
        <rFont val="Arial"/>
        <family val="2"/>
      </rPr>
      <t>U,A</t>
    </r>
  </si>
  <si>
    <r>
      <t>F</t>
    </r>
    <r>
      <rPr>
        <vertAlign val="subscript"/>
        <sz val="10"/>
        <color theme="1"/>
        <rFont val="Arial"/>
        <family val="2"/>
      </rPr>
      <t>U,B</t>
    </r>
  </si>
  <si>
    <t>Stress range formula</t>
  </si>
  <si>
    <t>Ds</t>
  </si>
  <si>
    <t>Gap shape formula</t>
  </si>
  <si>
    <t>k(l)</t>
  </si>
  <si>
    <t>Gap value used for calculation</t>
  </si>
  <si>
    <r>
      <t>k</t>
    </r>
    <r>
      <rPr>
        <vertAlign val="subscript"/>
        <sz val="10"/>
        <color theme="1"/>
        <rFont val="Arial"/>
        <family val="2"/>
      </rPr>
      <t>used</t>
    </r>
  </si>
  <si>
    <r>
      <t>k</t>
    </r>
    <r>
      <rPr>
        <vertAlign val="subscript"/>
        <sz val="10"/>
        <color theme="1"/>
        <rFont val="Arial"/>
        <family val="2"/>
      </rPr>
      <t>design</t>
    </r>
  </si>
  <si>
    <r>
      <t>p</t>
    </r>
    <r>
      <rPr>
        <vertAlign val="subscript"/>
        <sz val="10"/>
        <color theme="1"/>
        <rFont val="Arial"/>
        <family val="2"/>
      </rPr>
      <t>95</t>
    </r>
  </si>
  <si>
    <r>
      <rPr>
        <sz val="10"/>
        <color theme="1"/>
        <rFont val="Symbol"/>
        <family val="1"/>
        <charset val="2"/>
      </rPr>
      <t>m</t>
    </r>
    <r>
      <rPr>
        <vertAlign val="subscript"/>
        <sz val="10"/>
        <color theme="1"/>
        <rFont val="Arial"/>
        <family val="2"/>
      </rPr>
      <t>k</t>
    </r>
  </si>
  <si>
    <r>
      <rPr>
        <sz val="10"/>
        <color theme="1"/>
        <rFont val="Symbol"/>
        <family val="1"/>
        <charset val="2"/>
      </rPr>
      <t>s</t>
    </r>
    <r>
      <rPr>
        <vertAlign val="subscript"/>
        <sz val="10"/>
        <color theme="1"/>
        <rFont val="Arial"/>
        <family val="2"/>
      </rPr>
      <t>k</t>
    </r>
  </si>
  <si>
    <r>
      <t>u</t>
    </r>
    <r>
      <rPr>
        <vertAlign val="subscript"/>
        <sz val="10"/>
        <color theme="1"/>
        <rFont val="Arial"/>
        <family val="2"/>
      </rPr>
      <t>tol,360°</t>
    </r>
  </si>
  <si>
    <r>
      <t>u</t>
    </r>
    <r>
      <rPr>
        <vertAlign val="subscript"/>
        <sz val="10"/>
        <color theme="1"/>
        <rFont val="Arial"/>
        <family val="2"/>
      </rPr>
      <t>tol,30°</t>
    </r>
  </si>
  <si>
    <t>[m]</t>
  </si>
  <si>
    <r>
      <t>L</t>
    </r>
    <r>
      <rPr>
        <vertAlign val="subscript"/>
        <sz val="10"/>
        <color theme="1"/>
        <rFont val="Arial"/>
        <family val="2"/>
      </rPr>
      <t>30°</t>
    </r>
  </si>
  <si>
    <r>
      <t>COV</t>
    </r>
    <r>
      <rPr>
        <vertAlign val="subscript"/>
        <sz val="10"/>
        <color theme="1"/>
        <rFont val="Arial"/>
        <family val="2"/>
      </rPr>
      <t>k</t>
    </r>
  </si>
  <si>
    <r>
      <t>k</t>
    </r>
    <r>
      <rPr>
        <vertAlign val="subscript"/>
        <sz val="10"/>
        <color theme="1"/>
        <rFont val="Arial"/>
        <family val="2"/>
      </rPr>
      <t>mean</t>
    </r>
  </si>
  <si>
    <t>[mm/m]</t>
  </si>
  <si>
    <r>
      <t>u</t>
    </r>
    <r>
      <rPr>
        <vertAlign val="subscript"/>
        <sz val="10"/>
        <color theme="1"/>
        <rFont val="Arial"/>
        <family val="2"/>
      </rPr>
      <t>tol,1m</t>
    </r>
  </si>
  <si>
    <r>
      <t>L</t>
    </r>
    <r>
      <rPr>
        <vertAlign val="subscript"/>
        <sz val="10"/>
        <color theme="1"/>
        <rFont val="Arial"/>
        <family val="2"/>
      </rPr>
      <t>Gap</t>
    </r>
  </si>
  <si>
    <t>[deg]</t>
  </si>
  <si>
    <r>
      <rPr>
        <sz val="10"/>
        <color theme="1"/>
        <rFont val="Symbol"/>
        <family val="1"/>
        <charset val="2"/>
      </rPr>
      <t>a</t>
    </r>
    <r>
      <rPr>
        <vertAlign val="subscript"/>
        <sz val="10"/>
        <color theme="1"/>
        <rFont val="Arial"/>
        <family val="2"/>
      </rPr>
      <t>Gap</t>
    </r>
  </si>
  <si>
    <r>
      <t>F</t>
    </r>
    <r>
      <rPr>
        <vertAlign val="subscript"/>
        <sz val="10"/>
        <color theme="1"/>
        <rFont val="Arial"/>
        <family val="2"/>
      </rPr>
      <t>U,D</t>
    </r>
    <r>
      <rPr>
        <sz val="10"/>
        <color theme="1"/>
        <rFont val="Arial"/>
        <family val="2"/>
      </rPr>
      <t>/Z</t>
    </r>
    <r>
      <rPr>
        <vertAlign val="subscript"/>
        <sz val="10"/>
        <color theme="1"/>
        <rFont val="Arial"/>
        <family val="2"/>
      </rPr>
      <t>loss</t>
    </r>
  </si>
  <si>
    <r>
      <t>Z</t>
    </r>
    <r>
      <rPr>
        <vertAlign val="subscript"/>
        <sz val="10"/>
        <color theme="1"/>
        <rFont val="Arial"/>
        <family val="2"/>
      </rPr>
      <t>loss</t>
    </r>
  </si>
  <si>
    <t>[MNm]</t>
  </si>
  <si>
    <r>
      <t>M</t>
    </r>
    <r>
      <rPr>
        <vertAlign val="subscript"/>
        <sz val="10"/>
        <color theme="1"/>
        <rFont val="Arial"/>
        <family val="2"/>
      </rPr>
      <t>min,FLS</t>
    </r>
  </si>
  <si>
    <r>
      <t>M</t>
    </r>
    <r>
      <rPr>
        <vertAlign val="subscript"/>
        <sz val="10"/>
        <color theme="1"/>
        <rFont val="Arial"/>
        <family val="2"/>
      </rPr>
      <t>max,FLS</t>
    </r>
  </si>
  <si>
    <t>Note: S1 loads not included here, only FLS loads</t>
  </si>
  <si>
    <r>
      <t>M</t>
    </r>
    <r>
      <rPr>
        <vertAlign val="subscript"/>
        <sz val="10"/>
        <color theme="1"/>
        <rFont val="Arial"/>
        <family val="2"/>
      </rPr>
      <t>loss</t>
    </r>
  </si>
  <si>
    <r>
      <t>F</t>
    </r>
    <r>
      <rPr>
        <vertAlign val="subscript"/>
        <sz val="10"/>
        <color theme="1"/>
        <rFont val="Arial"/>
        <family val="2"/>
      </rPr>
      <t>S,loss</t>
    </r>
  </si>
  <si>
    <t>Including 50% reduction where re-tightening is assumed</t>
  </si>
  <si>
    <r>
      <t>f</t>
    </r>
    <r>
      <rPr>
        <vertAlign val="subscript"/>
        <sz val="10"/>
        <color theme="1"/>
        <rFont val="Arial"/>
        <family val="2"/>
      </rPr>
      <t>Z,tot</t>
    </r>
  </si>
  <si>
    <r>
      <t>DFT</t>
    </r>
    <r>
      <rPr>
        <vertAlign val="subscript"/>
        <sz val="10"/>
        <color theme="1"/>
        <rFont val="Arial"/>
        <family val="2"/>
      </rPr>
      <t>sbw</t>
    </r>
  </si>
  <si>
    <r>
      <rPr>
        <sz val="10"/>
        <color theme="1"/>
        <rFont val="Symbol"/>
        <family val="1"/>
        <charset val="2"/>
      </rPr>
      <t>D</t>
    </r>
    <r>
      <rPr>
        <sz val="10"/>
        <color theme="1"/>
        <rFont val="Arial"/>
        <family val="2"/>
      </rPr>
      <t>F</t>
    </r>
    <r>
      <rPr>
        <vertAlign val="subscript"/>
        <sz val="10"/>
        <color theme="1"/>
        <rFont val="Arial"/>
        <family val="2"/>
      </rPr>
      <t>Z</t>
    </r>
  </si>
  <si>
    <t>p</t>
  </si>
  <si>
    <r>
      <rPr>
        <sz val="10"/>
        <color theme="1"/>
        <rFont val="Symbol"/>
        <family val="1"/>
        <charset val="2"/>
      </rPr>
      <t>d</t>
    </r>
    <r>
      <rPr>
        <vertAlign val="subscript"/>
        <sz val="10"/>
        <color theme="1"/>
        <rFont val="Arial"/>
        <family val="2"/>
      </rPr>
      <t>P</t>
    </r>
  </si>
  <si>
    <r>
      <rPr>
        <sz val="10"/>
        <color theme="1"/>
        <rFont val="Symbol"/>
        <family val="1"/>
        <charset val="2"/>
      </rPr>
      <t>d</t>
    </r>
    <r>
      <rPr>
        <vertAlign val="subscript"/>
        <sz val="10"/>
        <color theme="1"/>
        <rFont val="Arial"/>
        <family val="2"/>
      </rPr>
      <t>S</t>
    </r>
  </si>
  <si>
    <t>Limit value for HV bolts</t>
  </si>
  <si>
    <r>
      <t>F</t>
    </r>
    <r>
      <rPr>
        <vertAlign val="subscript"/>
        <sz val="10"/>
        <color theme="1"/>
        <rFont val="Arial"/>
        <family val="2"/>
      </rPr>
      <t>p,C</t>
    </r>
    <r>
      <rPr>
        <sz val="10"/>
        <color theme="1"/>
        <rFont val="Arial"/>
        <family val="2"/>
      </rPr>
      <t>'</t>
    </r>
  </si>
  <si>
    <t>Design preload averaged over 5 bolts</t>
  </si>
  <si>
    <r>
      <t>F</t>
    </r>
    <r>
      <rPr>
        <vertAlign val="subscript"/>
        <sz val="10"/>
        <color theme="1"/>
        <rFont val="Arial"/>
        <family val="2"/>
      </rPr>
      <t>p,mean</t>
    </r>
  </si>
  <si>
    <r>
      <t>COV</t>
    </r>
    <r>
      <rPr>
        <vertAlign val="subscript"/>
        <sz val="10"/>
        <color theme="1"/>
        <rFont val="Arial"/>
        <family val="2"/>
      </rPr>
      <t>p</t>
    </r>
  </si>
  <si>
    <r>
      <t>F</t>
    </r>
    <r>
      <rPr>
        <vertAlign val="subscript"/>
        <sz val="10"/>
        <color theme="1"/>
        <rFont val="Arial"/>
        <family val="2"/>
      </rPr>
      <t>p,inst.,mean</t>
    </r>
  </si>
  <si>
    <t>Design value of preload, simplified formula</t>
  </si>
  <si>
    <r>
      <t>A</t>
    </r>
    <r>
      <rPr>
        <vertAlign val="subscript"/>
        <sz val="10"/>
        <color theme="1"/>
        <rFont val="Arial"/>
        <family val="2"/>
      </rPr>
      <t>S</t>
    </r>
  </si>
  <si>
    <t>Nominal yield strength (0.2% strain limit) for 10.9 bolts</t>
  </si>
  <si>
    <t>[MPa]</t>
  </si>
  <si>
    <r>
      <t>f</t>
    </r>
    <r>
      <rPr>
        <vertAlign val="subscript"/>
        <sz val="10"/>
        <color theme="1"/>
        <rFont val="Arial"/>
        <family val="2"/>
      </rPr>
      <t>y,b</t>
    </r>
  </si>
  <si>
    <t>Simplified formula used, therefore not used directly (but reported here for info)</t>
  </si>
  <si>
    <r>
      <rPr>
        <sz val="10"/>
        <color theme="1"/>
        <rFont val="Symbol"/>
        <family val="1"/>
        <charset val="2"/>
      </rPr>
      <t>D</t>
    </r>
    <r>
      <rPr>
        <sz val="10"/>
        <color theme="1"/>
        <rFont val="Arial"/>
        <family val="2"/>
      </rPr>
      <t>F</t>
    </r>
    <r>
      <rPr>
        <vertAlign val="subscript"/>
        <sz val="10"/>
        <color theme="1"/>
        <rFont val="Arial"/>
        <family val="2"/>
      </rPr>
      <t>pl</t>
    </r>
  </si>
  <si>
    <t>Simplified formula used, therefore not evaluated</t>
  </si>
  <si>
    <t>Comment</t>
  </si>
  <si>
    <t>Unit</t>
  </si>
  <si>
    <t>Symbol</t>
  </si>
  <si>
    <t>Equation</t>
  </si>
  <si>
    <t>Collection of all (intermediate) values as calculated according to IEC 61400-6 AMD1:2024</t>
  </si>
  <si>
    <t>°</t>
  </si>
  <si>
    <t>SGRE Value</t>
  </si>
  <si>
    <t>KCI Value</t>
  </si>
  <si>
    <t>mm²</t>
  </si>
  <si>
    <r>
      <t>A</t>
    </r>
    <r>
      <rPr>
        <vertAlign val="subscript"/>
        <sz val="10"/>
        <color rgb="FF000000"/>
        <rFont val="Consolas"/>
        <family val="3"/>
      </rPr>
      <t>s</t>
    </r>
    <r>
      <rPr>
        <sz val="10"/>
        <color rgb="FF000000"/>
        <rFont val="Consolas"/>
        <family val="3"/>
      </rPr>
      <t xml:space="preserve"> =</t>
    </r>
  </si>
  <si>
    <t>Mismatch</t>
  </si>
  <si>
    <t>Bolt axial stiffness:</t>
  </si>
  <si>
    <t>kN/mm</t>
  </si>
  <si>
    <t>rad/(GN·m)</t>
  </si>
  <si>
    <t>mm/kN</t>
  </si>
  <si>
    <t>Clamped parts stiffness:</t>
  </si>
  <si>
    <t>SK</t>
  </si>
  <si>
    <t>Gew</t>
  </si>
  <si>
    <t>G</t>
  </si>
  <si>
    <t>M</t>
  </si>
  <si>
    <t>Tot</t>
  </si>
  <si>
    <r>
      <t>β</t>
    </r>
    <r>
      <rPr>
        <vertAlign val="subscript"/>
        <sz val="10"/>
        <color theme="0" tint="-0.499984740745262"/>
        <rFont val="Consolas"/>
        <family val="3"/>
      </rPr>
      <t>i</t>
    </r>
    <r>
      <rPr>
        <sz val="10"/>
        <color theme="0" tint="-0.499984740745262"/>
        <rFont val="Consolas"/>
        <family val="3"/>
      </rPr>
      <t xml:space="preserve"> =</t>
    </r>
  </si>
  <si>
    <r>
      <t>δ</t>
    </r>
    <r>
      <rPr>
        <vertAlign val="subscript"/>
        <sz val="10"/>
        <color theme="0" tint="-0.499984740745262"/>
        <rFont val="Consolas"/>
        <family val="3"/>
      </rPr>
      <t>i</t>
    </r>
    <r>
      <rPr>
        <sz val="10"/>
        <color theme="0" tint="-0.499984740745262"/>
        <rFont val="Consolas"/>
        <family val="3"/>
      </rPr>
      <t xml:space="preserve"> =</t>
    </r>
  </si>
  <si>
    <t>i =</t>
  </si>
  <si>
    <r>
      <t>C</t>
    </r>
    <r>
      <rPr>
        <vertAlign val="subscript"/>
        <sz val="10"/>
        <color rgb="FF000000"/>
        <rFont val="Consolas"/>
        <family val="3"/>
      </rPr>
      <t>S</t>
    </r>
    <r>
      <rPr>
        <sz val="10"/>
        <color rgb="FF000000"/>
        <rFont val="Consolas"/>
        <family val="3"/>
      </rPr>
      <t xml:space="preserve"> =</t>
    </r>
  </si>
  <si>
    <r>
      <t>C</t>
    </r>
    <r>
      <rPr>
        <vertAlign val="subscript"/>
        <sz val="10"/>
        <color rgb="FF000000"/>
        <rFont val="Consolas"/>
        <family val="3"/>
      </rPr>
      <t>D</t>
    </r>
    <r>
      <rPr>
        <sz val="10"/>
        <color rgb="FF000000"/>
        <rFont val="Consolas"/>
        <family val="3"/>
      </rPr>
      <t xml:space="preserve"> =</t>
    </r>
  </si>
  <si>
    <r>
      <t>C</t>
    </r>
    <r>
      <rPr>
        <vertAlign val="subscript"/>
        <sz val="10"/>
        <color rgb="FF000000"/>
        <rFont val="Consolas"/>
        <family val="3"/>
      </rPr>
      <t>Ms</t>
    </r>
    <r>
      <rPr>
        <sz val="10"/>
        <color rgb="FF000000"/>
        <rFont val="Consolas"/>
        <family val="3"/>
      </rPr>
      <t xml:space="preserve"> =</t>
    </r>
  </si>
  <si>
    <t>Gap angle:</t>
  </si>
  <si>
    <r>
      <t>α</t>
    </r>
    <r>
      <rPr>
        <vertAlign val="subscript"/>
        <sz val="10"/>
        <color rgb="FF000000"/>
        <rFont val="Consolas"/>
        <family val="3"/>
      </rPr>
      <t>Gap</t>
    </r>
    <r>
      <rPr>
        <sz val="10"/>
        <color rgb="FF000000"/>
        <rFont val="Consolas"/>
        <family val="3"/>
      </rPr>
      <t xml:space="preserve"> =</t>
    </r>
  </si>
  <si>
    <t>Miscellaneous</t>
  </si>
  <si>
    <t>Gap Stiffness</t>
  </si>
  <si>
    <t>Initial shell stiffness factor:</t>
  </si>
  <si>
    <r>
      <t>k</t>
    </r>
    <r>
      <rPr>
        <vertAlign val="subscript"/>
        <sz val="10"/>
        <color rgb="FF000000"/>
        <rFont val="Consolas"/>
        <family val="3"/>
      </rPr>
      <t>fac</t>
    </r>
    <r>
      <rPr>
        <sz val="10"/>
        <color rgb="FF000000"/>
        <rFont val="Consolas"/>
        <family val="3"/>
      </rPr>
      <t xml:space="preserve"> =</t>
    </r>
  </si>
  <si>
    <t>Initial shell stiffness:</t>
  </si>
  <si>
    <r>
      <t>k</t>
    </r>
    <r>
      <rPr>
        <vertAlign val="subscript"/>
        <sz val="10"/>
        <color rgb="FF000000"/>
        <rFont val="Consolas"/>
        <family val="3"/>
      </rPr>
      <t>shell,ini</t>
    </r>
    <r>
      <rPr>
        <sz val="10"/>
        <color rgb="FF000000"/>
        <rFont val="Consolas"/>
        <family val="3"/>
      </rPr>
      <t xml:space="preserve"> =</t>
    </r>
  </si>
  <si>
    <t>Flange stiffness:</t>
  </si>
  <si>
    <r>
      <t>k</t>
    </r>
    <r>
      <rPr>
        <vertAlign val="subscript"/>
        <sz val="10"/>
        <color rgb="FF000000"/>
        <rFont val="Consolas"/>
        <family val="3"/>
      </rPr>
      <t>fl</t>
    </r>
    <r>
      <rPr>
        <sz val="10"/>
        <color rgb="FF000000"/>
        <rFont val="Consolas"/>
        <family val="3"/>
      </rPr>
      <t xml:space="preserve"> =</t>
    </r>
  </si>
  <si>
    <t>Segment stiffness:</t>
  </si>
  <si>
    <r>
      <t>k</t>
    </r>
    <r>
      <rPr>
        <vertAlign val="subscript"/>
        <sz val="10"/>
        <color rgb="FF000000"/>
        <rFont val="Consolas"/>
        <family val="3"/>
      </rPr>
      <t>seg</t>
    </r>
    <r>
      <rPr>
        <sz val="10"/>
        <color rgb="FF000000"/>
        <rFont val="Consolas"/>
        <family val="3"/>
      </rPr>
      <t xml:space="preserve"> =</t>
    </r>
  </si>
  <si>
    <t>Stiffness correction factor</t>
  </si>
  <si>
    <t>Displacement in the ultimate prying state:</t>
  </si>
  <si>
    <t>u =</t>
  </si>
  <si>
    <r>
      <t>Determination of ULS point P</t>
    </r>
    <r>
      <rPr>
        <b/>
        <i/>
        <vertAlign val="subscript"/>
        <sz val="10"/>
        <color rgb="FF0095D3"/>
        <rFont val="Arial"/>
        <family val="2"/>
      </rPr>
      <t>2</t>
    </r>
  </si>
  <si>
    <t>Model Internal Parameters</t>
  </si>
  <si>
    <r>
      <t>Determination of small displacements point P</t>
    </r>
    <r>
      <rPr>
        <b/>
        <i/>
        <vertAlign val="subscript"/>
        <sz val="10"/>
        <color rgb="FF0095D3"/>
        <rFont val="Arial"/>
        <family val="2"/>
      </rPr>
      <t>3</t>
    </r>
  </si>
  <si>
    <t>Bolt</t>
  </si>
  <si>
    <t>Gap height probability distribution</t>
  </si>
  <si>
    <t>Mean gap height:</t>
  </si>
  <si>
    <r>
      <t>k</t>
    </r>
    <r>
      <rPr>
        <vertAlign val="subscript"/>
        <sz val="10"/>
        <color rgb="FF000000"/>
        <rFont val="Consolas"/>
        <family val="3"/>
      </rPr>
      <t>mean</t>
    </r>
    <r>
      <rPr>
        <sz val="10"/>
        <color rgb="FF000000"/>
        <rFont val="Consolas"/>
        <family val="3"/>
      </rPr>
      <t xml:space="preserve"> =</t>
    </r>
  </si>
  <si>
    <t>Coefficient of variation:</t>
  </si>
  <si>
    <r>
      <t>COV</t>
    </r>
    <r>
      <rPr>
        <vertAlign val="subscript"/>
        <sz val="10"/>
        <color rgb="FF000000"/>
        <rFont val="Consolas"/>
        <family val="3"/>
      </rPr>
      <t>k</t>
    </r>
    <r>
      <rPr>
        <sz val="10"/>
        <color rgb="FF000000"/>
        <rFont val="Consolas"/>
        <family val="3"/>
      </rPr>
      <t xml:space="preserve"> =</t>
    </r>
  </si>
  <si>
    <t>Local flatness tolerance of the flange:</t>
  </si>
  <si>
    <r>
      <t>u</t>
    </r>
    <r>
      <rPr>
        <vertAlign val="subscript"/>
        <sz val="10"/>
        <color rgb="FF000000"/>
        <rFont val="Consolas"/>
        <family val="3"/>
      </rPr>
      <t>tol,1m</t>
    </r>
    <r>
      <rPr>
        <sz val="10"/>
        <color rgb="FF000000"/>
        <rFont val="Consolas"/>
        <family val="3"/>
      </rPr>
      <t xml:space="preserve"> =</t>
    </r>
  </si>
  <si>
    <t>mm/m</t>
  </si>
  <si>
    <r>
      <rPr>
        <sz val="10"/>
        <color theme="1"/>
        <rFont val="Symbol"/>
        <family val="1"/>
        <charset val="2"/>
      </rPr>
      <t>j</t>
    </r>
    <r>
      <rPr>
        <vertAlign val="subscript"/>
        <sz val="10"/>
        <color theme="1"/>
        <rFont val="Arial"/>
        <family val="2"/>
      </rPr>
      <t>S,T,high(Z)</t>
    </r>
  </si>
  <si>
    <t>Intermediate values as function of Z</t>
  </si>
  <si>
    <r>
      <rPr>
        <sz val="10"/>
        <color theme="1"/>
        <rFont val="Symbol"/>
        <family val="1"/>
        <charset val="2"/>
      </rPr>
      <t>j</t>
    </r>
    <r>
      <rPr>
        <vertAlign val="subscript"/>
        <sz val="10"/>
        <color theme="1"/>
        <rFont val="Arial"/>
        <family val="2"/>
      </rPr>
      <t>S,T,low(Z)</t>
    </r>
  </si>
  <si>
    <t>Bending moment for T-Flange as a function of external force Z</t>
  </si>
  <si>
    <t>[1/Nmm]</t>
  </si>
  <si>
    <r>
      <rPr>
        <sz val="10"/>
        <color theme="1"/>
        <rFont val="Symbol"/>
        <family val="1"/>
        <charset val="2"/>
      </rPr>
      <t>b</t>
    </r>
    <r>
      <rPr>
        <vertAlign val="subscript"/>
        <sz val="10"/>
        <color theme="1"/>
        <rFont val="Arial"/>
        <family val="2"/>
      </rPr>
      <t>S</t>
    </r>
  </si>
  <si>
    <t>Bending resilience of bolt assembly</t>
  </si>
  <si>
    <t>Bending moment L-Flange as a function of external force Z</t>
  </si>
  <si>
    <t>c</t>
  </si>
  <si>
    <r>
      <t>[mm</t>
    </r>
    <r>
      <rPr>
        <vertAlign val="superscript"/>
        <sz val="10"/>
        <color theme="1"/>
        <rFont val="Arial"/>
        <family val="2"/>
      </rPr>
      <t>4</t>
    </r>
    <r>
      <rPr>
        <sz val="10"/>
        <color theme="1"/>
        <rFont val="Arial"/>
        <family val="2"/>
      </rPr>
      <t>]</t>
    </r>
  </si>
  <si>
    <r>
      <t>[</t>
    </r>
    <r>
      <rPr>
        <sz val="10"/>
        <color theme="1"/>
        <rFont val="Symbol"/>
        <family val="1"/>
        <charset val="2"/>
      </rPr>
      <t>m</t>
    </r>
    <r>
      <rPr>
        <sz val="10"/>
        <color theme="1"/>
        <rFont val="Arial"/>
        <family val="2"/>
      </rPr>
      <t>m]</t>
    </r>
  </si>
  <si>
    <t>[m/N]</t>
  </si>
  <si>
    <r>
      <t>F</t>
    </r>
    <r>
      <rPr>
        <i/>
        <vertAlign val="subscript"/>
        <sz val="10"/>
        <color theme="1"/>
        <rFont val="Arial"/>
        <family val="2"/>
      </rPr>
      <t>p,C</t>
    </r>
    <r>
      <rPr>
        <i/>
        <sz val="10"/>
        <color theme="1"/>
        <rFont val="Arial"/>
        <family val="2"/>
      </rPr>
      <t>'</t>
    </r>
  </si>
  <si>
    <t>120°</t>
  </si>
  <si>
    <t>90°</t>
  </si>
  <si>
    <t>60°</t>
  </si>
  <si>
    <t>30°</t>
  </si>
  <si>
    <t>Geometry:</t>
  </si>
  <si>
    <t>Design cases</t>
  </si>
  <si>
    <t>Bolt stress area:</t>
  </si>
  <si>
    <t>Flange cross-section area in circumferential direction:</t>
  </si>
  <si>
    <r>
      <t>A</t>
    </r>
    <r>
      <rPr>
        <vertAlign val="subscript"/>
        <sz val="10"/>
        <color rgb="FF000000"/>
        <rFont val="Consolas"/>
        <family val="3"/>
      </rPr>
      <t>cf</t>
    </r>
    <r>
      <rPr>
        <sz val="10"/>
        <color rgb="FF000000"/>
        <rFont val="Consolas"/>
        <family val="3"/>
      </rPr>
      <t xml:space="preserve"> =</t>
    </r>
  </si>
  <si>
    <t>Flange moment of inertia in circumferential direction:</t>
  </si>
  <si>
    <r>
      <t>I</t>
    </r>
    <r>
      <rPr>
        <vertAlign val="subscript"/>
        <sz val="10"/>
        <color rgb="FF000000"/>
        <rFont val="Consolas"/>
        <family val="3"/>
      </rPr>
      <t>cf</t>
    </r>
    <r>
      <rPr>
        <sz val="10"/>
        <color rgb="FF000000"/>
        <rFont val="Consolas"/>
        <family val="3"/>
      </rPr>
      <t xml:space="preserve"> =</t>
    </r>
  </si>
  <si>
    <r>
      <t>mm</t>
    </r>
    <r>
      <rPr>
        <vertAlign val="superscript"/>
        <sz val="10"/>
        <color rgb="FF000000"/>
        <rFont val="Consolas"/>
        <family val="3"/>
      </rPr>
      <t>4</t>
    </r>
  </si>
  <si>
    <t>Compare Gap Angle</t>
  </si>
  <si>
    <r>
      <t>Flange Segment Analytical Model for 60</t>
    </r>
    <r>
      <rPr>
        <b/>
        <sz val="14"/>
        <color rgb="FF0095D3"/>
        <rFont val="Aptos Narrow"/>
        <family val="2"/>
      </rPr>
      <t>°</t>
    </r>
    <r>
      <rPr>
        <b/>
        <sz val="14"/>
        <color rgb="FF0095D3"/>
        <rFont val="Arial"/>
        <family val="2"/>
      </rPr>
      <t xml:space="preserve"> gap size</t>
    </r>
  </si>
  <si>
    <r>
      <t>Flange Segment Analytical Model for 90</t>
    </r>
    <r>
      <rPr>
        <b/>
        <sz val="14"/>
        <color rgb="FF0095D3"/>
        <rFont val="Aptos Narrow"/>
        <family val="2"/>
      </rPr>
      <t>°</t>
    </r>
    <r>
      <rPr>
        <b/>
        <sz val="14"/>
        <color rgb="FF0095D3"/>
        <rFont val="Arial"/>
        <family val="2"/>
      </rPr>
      <t xml:space="preserve"> gap size</t>
    </r>
  </si>
  <si>
    <r>
      <t>Flange Segment Analytical Model for 120</t>
    </r>
    <r>
      <rPr>
        <b/>
        <sz val="14"/>
        <color rgb="FF0095D3"/>
        <rFont val="Aptos Narrow"/>
        <family val="2"/>
      </rPr>
      <t>°</t>
    </r>
    <r>
      <rPr>
        <b/>
        <sz val="14"/>
        <color rgb="FF0095D3"/>
        <rFont val="Arial"/>
        <family val="2"/>
      </rPr>
      <t xml:space="preserve"> gap size</t>
    </r>
  </si>
  <si>
    <t>C</t>
  </si>
  <si>
    <t>B</t>
  </si>
  <si>
    <t>Shell outer radius of curvature:</t>
  </si>
  <si>
    <t>a* =</t>
  </si>
  <si>
    <t>Empirical prying distance:</t>
  </si>
  <si>
    <t>Shell second moment of area:</t>
  </si>
  <si>
    <r>
      <t>I</t>
    </r>
    <r>
      <rPr>
        <vertAlign val="subscript"/>
        <sz val="10"/>
        <color rgb="FF000000"/>
        <rFont val="Consolas"/>
        <family val="3"/>
      </rPr>
      <t>tg</t>
    </r>
    <r>
      <rPr>
        <sz val="10"/>
        <color rgb="FF000000"/>
        <rFont val="Consolas"/>
        <family val="3"/>
      </rPr>
      <t xml:space="preserve"> =</t>
    </r>
  </si>
  <si>
    <t>Central angle of the flange segment:</t>
  </si>
  <si>
    <t>α =</t>
  </si>
  <si>
    <t>X1 =</t>
  </si>
  <si>
    <t>c2 =</t>
  </si>
  <si>
    <t>c1 =</t>
  </si>
  <si>
    <t>c0 =</t>
  </si>
  <si>
    <t>Ms,min =</t>
  </si>
  <si>
    <t>(valid in case T-Flange is calculated)</t>
  </si>
  <si>
    <t>(valid in case L-Flange is calculated)</t>
  </si>
  <si>
    <r>
      <rPr>
        <sz val="10"/>
        <color theme="1"/>
        <rFont val="Symbol"/>
        <family val="1"/>
        <charset val="2"/>
      </rPr>
      <t>a</t>
    </r>
    <r>
      <rPr>
        <vertAlign val="subscript"/>
        <sz val="10"/>
        <color theme="1"/>
        <rFont val="Symbol"/>
        <family val="1"/>
        <charset val="2"/>
      </rPr>
      <t>0</t>
    </r>
  </si>
  <si>
    <r>
      <rPr>
        <sz val="10"/>
        <color theme="1"/>
        <rFont val="Symbol"/>
        <family val="1"/>
        <charset val="2"/>
      </rPr>
      <t>a</t>
    </r>
    <r>
      <rPr>
        <vertAlign val="subscript"/>
        <sz val="10"/>
        <color theme="1"/>
        <rFont val="Arial"/>
        <family val="2"/>
      </rPr>
      <t>1</t>
    </r>
  </si>
  <si>
    <r>
      <rPr>
        <sz val="10"/>
        <color theme="1"/>
        <rFont val="Symbol"/>
        <family val="1"/>
        <charset val="2"/>
      </rPr>
      <t>a</t>
    </r>
    <r>
      <rPr>
        <vertAlign val="subscript"/>
        <sz val="10"/>
        <color theme="1"/>
        <rFont val="Arial"/>
        <family val="2"/>
      </rPr>
      <t>2</t>
    </r>
  </si>
  <si>
    <r>
      <t>D</t>
    </r>
    <r>
      <rPr>
        <vertAlign val="subscript"/>
        <sz val="10"/>
        <color theme="1"/>
        <rFont val="Arial"/>
        <family val="2"/>
      </rPr>
      <t>2</t>
    </r>
  </si>
  <si>
    <r>
      <t>D</t>
    </r>
    <r>
      <rPr>
        <vertAlign val="subscript"/>
        <sz val="10"/>
        <color theme="1"/>
        <rFont val="Arial"/>
        <family val="2"/>
      </rPr>
      <t>1</t>
    </r>
  </si>
  <si>
    <r>
      <t>D</t>
    </r>
    <r>
      <rPr>
        <vertAlign val="subscript"/>
        <sz val="10"/>
        <color theme="1"/>
        <rFont val="Arial"/>
        <family val="2"/>
      </rPr>
      <t>0</t>
    </r>
  </si>
  <si>
    <r>
      <t>F</t>
    </r>
    <r>
      <rPr>
        <vertAlign val="subscript"/>
        <sz val="10"/>
        <color theme="1"/>
        <rFont val="Arial"/>
        <family val="2"/>
      </rPr>
      <t>S,3</t>
    </r>
  </si>
  <si>
    <r>
      <t>Z</t>
    </r>
    <r>
      <rPr>
        <vertAlign val="subscript"/>
        <sz val="10"/>
        <color theme="1"/>
        <rFont val="Arial"/>
        <family val="2"/>
      </rPr>
      <t>3</t>
    </r>
  </si>
  <si>
    <r>
      <t>F</t>
    </r>
    <r>
      <rPr>
        <vertAlign val="subscript"/>
        <sz val="10"/>
        <color theme="1"/>
        <rFont val="Arial"/>
        <family val="2"/>
      </rPr>
      <t>S,2</t>
    </r>
  </si>
  <si>
    <r>
      <t>Z</t>
    </r>
    <r>
      <rPr>
        <vertAlign val="subscript"/>
        <sz val="10"/>
        <color theme="1"/>
        <rFont val="Arial"/>
        <family val="2"/>
      </rPr>
      <t>2</t>
    </r>
  </si>
  <si>
    <r>
      <t>F</t>
    </r>
    <r>
      <rPr>
        <vertAlign val="subscript"/>
        <sz val="10"/>
        <color theme="1"/>
        <rFont val="Arial"/>
        <family val="2"/>
      </rPr>
      <t>S,1</t>
    </r>
  </si>
  <si>
    <r>
      <t>Z</t>
    </r>
    <r>
      <rPr>
        <vertAlign val="subscript"/>
        <sz val="10"/>
        <color theme="1"/>
        <rFont val="Arial"/>
        <family val="2"/>
      </rPr>
      <t>1</t>
    </r>
  </si>
  <si>
    <t>Gap length measured on outside diameter</t>
  </si>
  <si>
    <t>Fs_coeff.tens</t>
  </si>
  <si>
    <t>Point 1: flange segment at rest</t>
  </si>
  <si>
    <t>Segment force without external load:</t>
  </si>
  <si>
    <r>
      <t>Tensile zone (Z &gt; Z</t>
    </r>
    <r>
      <rPr>
        <vertAlign val="subscript"/>
        <sz val="10"/>
        <color rgb="FF000000"/>
        <rFont val="Arial"/>
        <family val="2"/>
      </rPr>
      <t>1</t>
    </r>
    <r>
      <rPr>
        <sz val="10"/>
        <color rgb="FF000000"/>
        <rFont val="Arial"/>
        <family val="2"/>
      </rPr>
      <t>):</t>
    </r>
  </si>
  <si>
    <t>0.10</t>
  </si>
  <si>
    <t>Force necessary to neutralize the flange tilt:</t>
  </si>
  <si>
    <r>
      <rPr>
        <sz val="10"/>
        <color rgb="FF000000"/>
        <rFont val="Aptos Narrow"/>
        <family val="2"/>
      </rPr>
      <t>Δ</t>
    </r>
    <r>
      <rPr>
        <sz val="10"/>
        <color rgb="FF000000"/>
        <rFont val="Consolas"/>
        <family val="3"/>
      </rPr>
      <t>z</t>
    </r>
    <r>
      <rPr>
        <vertAlign val="subscript"/>
        <sz val="10"/>
        <color rgb="FF000000"/>
        <rFont val="Consolas"/>
        <family val="3"/>
      </rPr>
      <t>gap,inclination</t>
    </r>
    <r>
      <rPr>
        <sz val="10"/>
        <color rgb="FF000000"/>
        <rFont val="Consolas"/>
        <family val="3"/>
      </rPr>
      <t xml:space="preserve"> =</t>
    </r>
  </si>
  <si>
    <t>Force necessary to neutralize a parallel gap:</t>
  </si>
  <si>
    <t>Total force necessary to neutralize the gap:</t>
  </si>
  <si>
    <r>
      <rPr>
        <sz val="10"/>
        <color rgb="FF000000"/>
        <rFont val="Aptos Narrow"/>
        <family val="2"/>
      </rPr>
      <t>Δ</t>
    </r>
    <r>
      <rPr>
        <sz val="10"/>
        <color rgb="FF000000"/>
        <rFont val="Consolas"/>
        <family val="3"/>
      </rPr>
      <t>Z</t>
    </r>
    <r>
      <rPr>
        <vertAlign val="subscript"/>
        <sz val="10"/>
        <color rgb="FF000000"/>
        <rFont val="Consolas"/>
        <family val="3"/>
      </rPr>
      <t>gap,tot</t>
    </r>
    <r>
      <rPr>
        <sz val="10"/>
        <color rgb="FF000000"/>
        <rFont val="Consolas"/>
        <family val="3"/>
      </rPr>
      <t xml:space="preserve"> =</t>
    </r>
  </si>
  <si>
    <t>Fp,C'</t>
  </si>
  <si>
    <t>DFpl</t>
  </si>
  <si>
    <t>fy,b</t>
  </si>
  <si>
    <t>AS</t>
  </si>
  <si>
    <t>Stress area of bolt</t>
  </si>
  <si>
    <t>Fp,inst.,mean</t>
  </si>
  <si>
    <t>Mean preload after installation</t>
  </si>
  <si>
    <t>COVp</t>
  </si>
  <si>
    <t>Coefficient of variation for preload</t>
  </si>
  <si>
    <t>Fp,mean</t>
  </si>
  <si>
    <t>Design preload averaged over 5 bolts (after installation, without preload losses)</t>
  </si>
  <si>
    <t>Design value capped to 90% Fp,C*: Yes</t>
  </si>
  <si>
    <t>dS</t>
  </si>
  <si>
    <t/>
  </si>
  <si>
    <t>dP</t>
  </si>
  <si>
    <t>DFZ</t>
  </si>
  <si>
    <t>DFTsbw</t>
  </si>
  <si>
    <t>fZ,tot</t>
  </si>
  <si>
    <t>Including 50% reduction, when re-tightening is assumed (only for tension tightening)</t>
  </si>
  <si>
    <t>FS,loss</t>
  </si>
  <si>
    <t>Mloss</t>
  </si>
  <si>
    <t>Mmax,FLS</t>
  </si>
  <si>
    <t>Mmin,FLS</t>
  </si>
  <si>
    <t>Zloss</t>
  </si>
  <si>
    <t>FU,D/Zloss</t>
  </si>
  <si>
    <t>aGap</t>
  </si>
  <si>
    <t>LGap</t>
  </si>
  <si>
    <t>utol,1m</t>
  </si>
  <si>
    <t>kmean</t>
  </si>
  <si>
    <t>COVk</t>
  </si>
  <si>
    <t>L30°</t>
  </si>
  <si>
    <t>utol,30°</t>
  </si>
  <si>
    <t>utol,360°</t>
  </si>
  <si>
    <t>sk</t>
  </si>
  <si>
    <t>mk</t>
  </si>
  <si>
    <t>p95</t>
  </si>
  <si>
    <t>kdesign</t>
  </si>
  <si>
    <t>kused</t>
  </si>
  <si>
    <t>FU,B</t>
  </si>
  <si>
    <t>FU,A</t>
  </si>
  <si>
    <t>FS(Z)</t>
  </si>
  <si>
    <t>Z1</t>
  </si>
  <si>
    <t>FS,1</t>
  </si>
  <si>
    <t>Z2</t>
  </si>
  <si>
    <t>FS,2</t>
  </si>
  <si>
    <t>Z3</t>
  </si>
  <si>
    <t>FS,3</t>
  </si>
  <si>
    <t>D0</t>
  </si>
  <si>
    <t>D1</t>
  </si>
  <si>
    <t>D2</t>
  </si>
  <si>
    <t>a2</t>
  </si>
  <si>
    <t>a1</t>
  </si>
  <si>
    <t>a0</t>
  </si>
  <si>
    <t>DZgap</t>
  </si>
  <si>
    <t>Atg</t>
  </si>
  <si>
    <t>Itg</t>
  </si>
  <si>
    <t>[mm4]</t>
  </si>
  <si>
    <t>Acf</t>
  </si>
  <si>
    <t>Icf</t>
  </si>
  <si>
    <t>kgap,tot</t>
  </si>
  <si>
    <t>kshell,ini</t>
  </si>
  <si>
    <t>kfac</t>
  </si>
  <si>
    <t>kfl</t>
  </si>
  <si>
    <t>DZgap,c</t>
  </si>
  <si>
    <t>FV,c</t>
  </si>
  <si>
    <t>DZgap,inclination</t>
  </si>
  <si>
    <t>Inclination used: 0.00deg</t>
  </si>
  <si>
    <t>DZgap,tot</t>
  </si>
  <si>
    <t>FS,0=FS,2</t>
  </si>
  <si>
    <t>Z0</t>
  </si>
  <si>
    <t>ak</t>
  </si>
  <si>
    <t>kseg</t>
  </si>
  <si>
    <t>Z2~</t>
  </si>
  <si>
    <t>Gtwr+GRNA</t>
  </si>
  <si>
    <t>DZdw</t>
  </si>
  <si>
    <t>Zclose</t>
  </si>
  <si>
    <t>cini,true</t>
  </si>
  <si>
    <t>FS,min</t>
  </si>
  <si>
    <t>cini,mod</t>
  </si>
  <si>
    <t>MS(Z)</t>
  </si>
  <si>
    <t>bS</t>
  </si>
  <si>
    <t>Bending resilience of bolt assembly (VDI2230)</t>
  </si>
  <si>
    <t>jS,T,low(Z)</t>
  </si>
  <si>
    <t>jS,T,high(Z)</t>
  </si>
  <si>
    <t>cini,M</t>
  </si>
  <si>
    <t>MS,min</t>
  </si>
  <si>
    <t>DZdw+DZ</t>
  </si>
  <si>
    <t>Ms,T,low</t>
  </si>
  <si>
    <t>Value at DZdw</t>
  </si>
  <si>
    <t>Ms,T,high</t>
  </si>
  <si>
    <t>Ms,T</t>
  </si>
  <si>
    <t>Value at DZdw+DZ</t>
  </si>
  <si>
    <t>M1</t>
  </si>
  <si>
    <t>M2</t>
  </si>
  <si>
    <t>M3</t>
  </si>
  <si>
    <t>a2,M</t>
  </si>
  <si>
    <t>Polynomial coefficients for bending moment</t>
  </si>
  <si>
    <t>a1,M</t>
  </si>
  <si>
    <t>Note that these don't provide an exact match to</t>
  </si>
  <si>
    <t>a0,M</t>
  </si>
  <si>
    <t>the interpolated values, but usually good enough</t>
  </si>
  <si>
    <t>Damage Miner's rule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</si>
</sst>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0">
    <numFmt numFmtId="164" formatCode="0.0"/>
    <numFmt numFmtId="165" formatCode="0.0000"/>
    <numFmt numFmtId="166" formatCode="0.000"/>
    <numFmt numFmtId="167" formatCode="\(0\)"/>
    <numFmt numFmtId="168" formatCode="0.0%"/>
    <numFmt numFmtId="169" formatCode="0.0E+00"/>
    <numFmt numFmtId="170" formatCode="0.000E+00"/>
    <numFmt numFmtId="171" formatCode="0.0000000"/>
    <numFmt numFmtId="172" formatCode="0.000000"/>
    <numFmt numFmtId="173" formatCode="0.00000000000000000000"/>
  </numFmts>
  <fonts count="62"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0" tint="-0.499984740745262"/>
      <name val="Consolas"/>
      <family val="3"/>
    </font>
    <font>
      <sz val="10"/>
      <color theme="1"/>
      <name val="Consolas"/>
      <family val="3"/>
    </font>
    <font>
      <sz val="10"/>
      <color rgb="FF000000"/>
      <name val="Consolas"/>
      <family val="3"/>
    </font>
    <font>
      <b/>
      <sz val="10"/>
      <color rgb="FF000000"/>
      <name val="Consolas"/>
      <family val="3"/>
    </font>
    <font>
      <vertAlign val="subscript"/>
      <sz val="10"/>
      <color rgb="FF000000"/>
      <name val="Consolas"/>
      <family val="3"/>
    </font>
    <font>
      <sz val="10"/>
      <color rgb="FF000000"/>
      <name val="Arial"/>
      <family val="2"/>
    </font>
    <font>
      <sz val="10"/>
      <color rgb="FF0095D3"/>
      <name val="Arial"/>
      <family val="2"/>
    </font>
    <font>
      <b/>
      <i/>
      <sz val="10"/>
      <color rgb="FF0095D3"/>
      <name val="Arial"/>
      <family val="2"/>
    </font>
    <font>
      <b/>
      <sz val="12"/>
      <color rgb="FFFF0000"/>
      <name val="Consolas"/>
      <family val="3"/>
    </font>
    <font>
      <b/>
      <sz val="12"/>
      <color rgb="FF0095D3"/>
      <name val="Arial"/>
      <family val="2"/>
    </font>
    <font>
      <i/>
      <sz val="10"/>
      <color rgb="FF808080"/>
      <name val="Arial"/>
      <family val="2"/>
    </font>
    <font>
      <i/>
      <sz val="10"/>
      <color theme="1"/>
      <name val="Arial"/>
      <family val="2"/>
    </font>
    <font>
      <sz val="14"/>
      <color theme="0" tint="-0.499984740745262"/>
      <name val="Consolas"/>
      <family val="3"/>
    </font>
    <font>
      <b/>
      <sz val="14"/>
      <color rgb="FF0095D3"/>
      <name val="Arial"/>
      <family val="2"/>
    </font>
    <font>
      <b/>
      <sz val="10"/>
      <color rgb="FF0095D3"/>
      <name val="Consolas"/>
      <family val="3"/>
    </font>
    <font>
      <sz val="10"/>
      <color rgb="FF0095D3"/>
      <name val="Consolas"/>
      <family val="3"/>
    </font>
    <font>
      <b/>
      <sz val="12"/>
      <color rgb="FF0095D3"/>
      <name val="Consolas"/>
      <family val="3"/>
    </font>
    <font>
      <sz val="8"/>
      <color theme="0" tint="-0.499984740745262"/>
      <name val="Consolas"/>
      <family val="3"/>
    </font>
    <font>
      <b/>
      <sz val="8"/>
      <color rgb="FF0095D3"/>
      <name val="Consolas"/>
      <family val="3"/>
    </font>
    <font>
      <sz val="8"/>
      <color rgb="FF0095D3"/>
      <name val="Consolas"/>
      <family val="3"/>
    </font>
    <font>
      <b/>
      <sz val="8"/>
      <color rgb="FF808080"/>
      <name val="Consolas"/>
      <family val="3"/>
    </font>
    <font>
      <b/>
      <i/>
      <sz val="8"/>
      <color rgb="FF808080"/>
      <name val="Consolas"/>
      <family val="3"/>
    </font>
    <font>
      <sz val="8"/>
      <color rgb="FF808080"/>
      <name val="Consolas"/>
      <family val="3"/>
    </font>
    <font>
      <b/>
      <sz val="14"/>
      <color rgb="FF0095D3"/>
      <name val="Aptos Narrow"/>
      <family val="2"/>
    </font>
    <font>
      <b/>
      <vertAlign val="subscript"/>
      <sz val="12"/>
      <color rgb="FF0095D3"/>
      <name val="Arial"/>
      <family val="2"/>
    </font>
    <font>
      <b/>
      <sz val="10"/>
      <color rgb="FFFFFFFF"/>
      <name val="Arial"/>
      <family val="2"/>
    </font>
    <font>
      <vertAlign val="subscript"/>
      <sz val="10"/>
      <color rgb="FF000000"/>
      <name val="Arial"/>
      <family val="2"/>
    </font>
    <font>
      <b/>
      <vertAlign val="subscript"/>
      <sz val="10"/>
      <color rgb="FFFFFFFF"/>
      <name val="Arial"/>
      <family val="2"/>
    </font>
    <font>
      <sz val="10"/>
      <color rgb="FF000000"/>
      <name val="Aptos Narrow"/>
      <family val="2"/>
    </font>
    <font>
      <sz val="10"/>
      <color rgb="FF000000"/>
      <name val="Consolas"/>
      <family val="2"/>
    </font>
    <font>
      <vertAlign val="subscript"/>
      <sz val="10"/>
      <color rgb="FF000000"/>
      <name val="Aptos Narrow"/>
      <family val="2"/>
    </font>
    <font>
      <b/>
      <sz val="10"/>
      <color rgb="FF000000"/>
      <name val="Arial"/>
      <family val="2"/>
    </font>
    <font>
      <sz val="10"/>
      <color rgb="FF808080"/>
      <name val="Consolas"/>
      <family val="3"/>
    </font>
    <font>
      <b/>
      <sz val="10"/>
      <color rgb="FF808080"/>
      <name val="Arial"/>
      <family val="2"/>
    </font>
    <font>
      <sz val="10"/>
      <color rgb="FF808080"/>
      <name val="Arial"/>
      <family val="2"/>
    </font>
    <font>
      <b/>
      <sz val="10"/>
      <color rgb="FF808080"/>
      <name val="Consolas"/>
      <family val="3"/>
    </font>
    <font>
      <sz val="10"/>
      <color theme="1"/>
      <name val="Arial"/>
      <family val="2"/>
    </font>
    <font>
      <sz val="10"/>
      <color theme="1"/>
      <name val="Arial"/>
      <family val="1"/>
      <charset val="2"/>
    </font>
    <font>
      <vertAlign val="subscript"/>
      <sz val="10"/>
      <color theme="1"/>
      <name val="Arial"/>
      <family val="2"/>
    </font>
    <font>
      <sz val="10"/>
      <color theme="1"/>
      <name val="Symbol"/>
      <family val="1"/>
      <charset val="2"/>
    </font>
    <font>
      <b/>
      <sz val="10"/>
      <color theme="1"/>
      <name val="Arial"/>
      <family val="2"/>
    </font>
    <font>
      <vertAlign val="subscript"/>
      <sz val="10"/>
      <color theme="0" tint="-0.499984740745262"/>
      <name val="Consolas"/>
      <family val="3"/>
    </font>
    <font>
      <b/>
      <i/>
      <vertAlign val="subscript"/>
      <sz val="10"/>
      <color rgb="FF0095D3"/>
      <name val="Arial"/>
      <family val="2"/>
    </font>
    <font>
      <vertAlign val="superscript"/>
      <sz val="10"/>
      <color theme="1"/>
      <name val="Arial"/>
      <family val="2"/>
    </font>
    <font>
      <i/>
      <vertAlign val="subscript"/>
      <sz val="10"/>
      <color theme="1"/>
      <name val="Arial"/>
      <family val="2"/>
    </font>
    <font>
      <vertAlign val="superscript"/>
      <sz val="10"/>
      <color rgb="FF000000"/>
      <name val="Consolas"/>
      <family val="3"/>
    </font>
    <font>
      <b/>
      <sz val="10"/>
      <color theme="1"/>
      <name val="Arial Narrow"/>
      <family val="2"/>
    </font>
    <font>
      <b/>
      <sz val="14"/>
      <color rgb="FF000000"/>
      <name val="Consolas"/>
      <family val="3"/>
    </font>
    <font>
      <sz val="9"/>
      <color rgb="FF808080"/>
      <name val="Consolas"/>
      <family val="3"/>
    </font>
    <font>
      <vertAlign val="subscript"/>
      <sz val="10"/>
      <color theme="1"/>
      <name val="Symbol"/>
      <family val="1"/>
      <charset val="2"/>
    </font>
    <font>
      <sz val="10"/>
      <color rgb="FF00B050"/>
      <name val="Arial"/>
      <family val="2"/>
    </font>
    <font>
      <sz val="10"/>
      <color rgb="FF00B050"/>
      <name val="Arial"/>
      <family val="1"/>
      <charset val="2"/>
    </font>
    <font>
      <i/>
      <sz val="10"/>
      <color rgb="FF00B050"/>
      <name val="Arial"/>
      <family val="2"/>
    </font>
    <font>
      <sz val="10"/>
      <color rgb="FF0070C0"/>
      <name val="Arial"/>
      <family val="1"/>
      <charset val="2"/>
    </font>
    <font>
      <sz val="10"/>
      <color rgb="FF0070C0"/>
      <name val="Symbol"/>
      <family val="1"/>
      <charset val="2"/>
    </font>
    <font>
      <sz val="10"/>
      <color rgb="FF0070C0"/>
      <name val="Arial"/>
      <family val="2"/>
    </font>
    <font>
      <sz val="11"/>
      <color theme="1"/>
      <name val="Arial"/>
      <family val="2"/>
    </font>
    <font>
      <sz val="10"/>
      <color theme="1"/>
      <name val="Arial"/>
      <family val="2"/>
      <charset val="2"/>
    </font>
  </fonts>
  <fills count="10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D9E1F2"/>
        <bgColor indexed="64"/>
      </patternFill>
    </fill>
    <fill>
      <patternFill patternType="lightUp">
        <bgColor theme="9" tint="0.59999389629810485"/>
      </patternFill>
    </fill>
  </fills>
  <borders count="31">
    <border>
      <left/>
      <right/>
      <top/>
      <bottom/>
      <diagonal/>
    </border>
    <border>
      <left/>
      <right/>
      <top style="thin">
        <color rgb="FFA6A6A6"/>
      </top>
      <bottom style="thin">
        <color rgb="FFA6A6A6"/>
      </bottom>
      <diagonal/>
    </border>
    <border>
      <left/>
      <right/>
      <top/>
      <bottom style="thin">
        <color rgb="FFA6A6A6"/>
      </bottom>
      <diagonal/>
    </border>
    <border>
      <left/>
      <right/>
      <top/>
      <bottom style="thin">
        <color rgb="FF0095D3"/>
      </bottom>
      <diagonal/>
    </border>
    <border>
      <left/>
      <right/>
      <top/>
      <bottom style="medium">
        <color rgb="FF0095D3"/>
      </bottom>
      <diagonal/>
    </border>
    <border>
      <left/>
      <right/>
      <top style="thin">
        <color rgb="FFA6A6A6"/>
      </top>
      <bottom/>
      <diagonal/>
    </border>
    <border>
      <left/>
      <right/>
      <top/>
      <bottom style="thin">
        <color theme="0" tint="-0.34998626667073579"/>
      </bottom>
      <diagonal/>
    </border>
    <border>
      <left/>
      <right style="thin">
        <color theme="0" tint="-0.34998626667073579"/>
      </right>
      <top/>
      <bottom/>
      <diagonal/>
    </border>
    <border>
      <left style="thin">
        <color theme="0" tint="-0.34998626667073579"/>
      </left>
      <right/>
      <top/>
      <bottom/>
      <diagonal/>
    </border>
    <border>
      <left/>
      <right style="thin">
        <color rgb="FFA6A6A6"/>
      </right>
      <top/>
      <bottom/>
      <diagonal/>
    </border>
    <border>
      <left style="thin">
        <color rgb="FFA6A6A6"/>
      </left>
      <right/>
      <top/>
      <bottom/>
      <diagonal/>
    </border>
    <border>
      <left/>
      <right style="thin">
        <color theme="0" tint="-0.34998626667073579"/>
      </right>
      <top style="thin">
        <color theme="0" tint="-0.34998626667073579"/>
      </top>
      <bottom/>
      <diagonal/>
    </border>
    <border>
      <left/>
      <right/>
      <top style="thin">
        <color theme="0" tint="-0.34998626667073579"/>
      </top>
      <bottom/>
      <diagonal/>
    </border>
    <border>
      <left style="thin">
        <color theme="0" tint="-0.34998626667073579"/>
      </left>
      <right/>
      <top style="thin">
        <color theme="0" tint="-0.34998626667073579"/>
      </top>
      <bottom/>
      <diagonal/>
    </border>
    <border>
      <left/>
      <right style="thin">
        <color rgb="FFA6A6A6"/>
      </right>
      <top/>
      <bottom style="thin">
        <color rgb="FFA6A6A6"/>
      </bottom>
      <diagonal/>
    </border>
    <border>
      <left style="thin">
        <color rgb="FFA6A6A6"/>
      </left>
      <right/>
      <top/>
      <bottom style="thin">
        <color rgb="FFA6A6A6"/>
      </bottom>
      <diagonal/>
    </border>
    <border>
      <left/>
      <right style="thin">
        <color rgb="FFA6A6A6"/>
      </right>
      <top style="thin">
        <color rgb="FFA6A6A6"/>
      </top>
      <bottom/>
      <diagonal/>
    </border>
    <border>
      <left style="thin">
        <color rgb="FFA6A6A6"/>
      </left>
      <right/>
      <top style="thin">
        <color rgb="FFA6A6A6"/>
      </top>
      <bottom/>
      <diagonal/>
    </border>
    <border>
      <left/>
      <right/>
      <top/>
      <bottom style="thick">
        <color rgb="FF0095D3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/>
      <right/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/>
      <top style="thin">
        <color rgb="FF0095D3"/>
      </top>
      <bottom style="thin">
        <color rgb="FF0095D3"/>
      </bottom>
      <diagonal/>
    </border>
    <border>
      <left style="thin">
        <color rgb="FF0095D3"/>
      </left>
      <right/>
      <top style="thin">
        <color rgb="FF0095D3"/>
      </top>
      <bottom style="thin">
        <color rgb="FF0095D3"/>
      </bottom>
      <diagonal/>
    </border>
    <border>
      <left style="thin">
        <color rgb="FFA6A6A6"/>
      </left>
      <right style="thin">
        <color rgb="FFA6A6A6"/>
      </right>
      <top style="thin">
        <color rgb="FFA6A6A6"/>
      </top>
      <bottom style="thin">
        <color rgb="FFA6A6A6"/>
      </bottom>
      <diagonal/>
    </border>
    <border>
      <left style="thin">
        <color theme="0" tint="-0.34998626667073579"/>
      </left>
      <right/>
      <top/>
      <bottom style="thin">
        <color rgb="FFA6A6A6"/>
      </bottom>
      <diagonal/>
    </border>
    <border>
      <left/>
      <right style="thin">
        <color theme="0" tint="-0.34998626667073579"/>
      </right>
      <top/>
      <bottom style="thin">
        <color rgb="FFA6A6A6"/>
      </bottom>
      <diagonal/>
    </border>
    <border>
      <left style="thin">
        <color rgb="FFA6A6A6"/>
      </left>
      <right style="thin">
        <color rgb="FFA6A6A6"/>
      </right>
      <top style="thin">
        <color rgb="FFA6A6A6"/>
      </top>
      <bottom/>
      <diagonal/>
    </border>
    <border>
      <left/>
      <right/>
      <top/>
      <bottom style="thin">
        <color auto="1"/>
      </bottom>
      <diagonal/>
    </border>
    <border>
      <left style="thin">
        <color rgb="FF0095D3"/>
      </left>
      <right style="thin">
        <color rgb="FF0095D3"/>
      </right>
      <top style="thin">
        <color rgb="FF0095D3"/>
      </top>
      <bottom style="thin">
        <color rgb="FF0095D3"/>
      </bottom>
      <diagonal/>
    </border>
  </borders>
  <cellStyleXfs count="5">
    <xf numFmtId="0" fontId="0" fillId="0" borderId="0"/>
    <xf numFmtId="0" fontId="3" fillId="0" borderId="0"/>
    <xf numFmtId="0" fontId="2" fillId="0" borderId="0"/>
    <xf numFmtId="9" fontId="40" fillId="0" borderId="0" applyFont="0" applyFill="0" applyBorder="0" applyAlignment="0" applyProtection="0"/>
    <xf numFmtId="0" fontId="1" fillId="0" borderId="0"/>
  </cellStyleXfs>
  <cellXfs count="169">
    <xf numFmtId="0" fontId="0" fillId="0" borderId="0" xfId="0"/>
    <xf numFmtId="0" fontId="4" fillId="2" borderId="0" xfId="1" applyFont="1" applyFill="1" applyAlignment="1">
      <alignment vertical="center"/>
    </xf>
    <xf numFmtId="0" fontId="5" fillId="2" borderId="0" xfId="1" applyFont="1" applyFill="1" applyAlignment="1">
      <alignment vertical="center"/>
    </xf>
    <xf numFmtId="0" fontId="4" fillId="0" borderId="0" xfId="1" applyFont="1" applyAlignment="1">
      <alignment vertical="center"/>
    </xf>
    <xf numFmtId="0" fontId="5" fillId="0" borderId="0" xfId="1" applyFont="1" applyAlignment="1">
      <alignment vertical="center"/>
    </xf>
    <xf numFmtId="0" fontId="6" fillId="3" borderId="1" xfId="1" applyFont="1" applyFill="1" applyBorder="1" applyAlignment="1">
      <alignment horizontal="left" vertical="center"/>
    </xf>
    <xf numFmtId="2" fontId="7" fillId="3" borderId="1" xfId="1" applyNumberFormat="1" applyFont="1" applyFill="1" applyBorder="1" applyAlignment="1">
      <alignment horizontal="center" vertical="center"/>
    </xf>
    <xf numFmtId="0" fontId="6" fillId="3" borderId="1" xfId="1" applyFont="1" applyFill="1" applyBorder="1" applyAlignment="1">
      <alignment horizontal="right" vertical="center"/>
    </xf>
    <xf numFmtId="0" fontId="9" fillId="3" borderId="1" xfId="1" applyFont="1" applyFill="1" applyBorder="1" applyAlignment="1">
      <alignment horizontal="left" vertical="center"/>
    </xf>
    <xf numFmtId="0" fontId="10" fillId="3" borderId="0" xfId="1" applyFont="1" applyFill="1" applyAlignment="1">
      <alignment horizontal="right" vertical="center"/>
    </xf>
    <xf numFmtId="0" fontId="6" fillId="3" borderId="2" xfId="1" applyFont="1" applyFill="1" applyBorder="1" applyAlignment="1">
      <alignment horizontal="right" vertical="center"/>
    </xf>
    <xf numFmtId="0" fontId="9" fillId="3" borderId="2" xfId="1" applyFont="1" applyFill="1" applyBorder="1" applyAlignment="1">
      <alignment horizontal="left" vertical="center"/>
    </xf>
    <xf numFmtId="0" fontId="11" fillId="3" borderId="3" xfId="1" applyFont="1" applyFill="1" applyBorder="1" applyAlignment="1">
      <alignment horizontal="left"/>
    </xf>
    <xf numFmtId="2" fontId="12" fillId="3" borderId="4" xfId="1" applyNumberFormat="1" applyFont="1" applyFill="1" applyBorder="1" applyAlignment="1">
      <alignment horizontal="center"/>
    </xf>
    <xf numFmtId="0" fontId="13" fillId="3" borderId="4" xfId="1" applyFont="1" applyFill="1" applyBorder="1" applyAlignment="1">
      <alignment horizontal="left"/>
    </xf>
    <xf numFmtId="0" fontId="6" fillId="3" borderId="5" xfId="1" applyFont="1" applyFill="1" applyBorder="1" applyAlignment="1">
      <alignment horizontal="left" vertical="center"/>
    </xf>
    <xf numFmtId="0" fontId="6" fillId="3" borderId="5" xfId="1" applyFont="1" applyFill="1" applyBorder="1" applyAlignment="1">
      <alignment horizontal="right" vertical="center"/>
    </xf>
    <xf numFmtId="0" fontId="9" fillId="3" borderId="5" xfId="1" applyFont="1" applyFill="1" applyBorder="1" applyAlignment="1">
      <alignment horizontal="left" vertical="center"/>
    </xf>
    <xf numFmtId="0" fontId="4" fillId="2" borderId="0" xfId="1" applyFont="1" applyFill="1" applyAlignment="1">
      <alignment vertical="center" wrapText="1"/>
    </xf>
    <xf numFmtId="0" fontId="14" fillId="4" borderId="0" xfId="1" applyFont="1" applyFill="1" applyAlignment="1">
      <alignment horizontal="left" vertical="top" wrapText="1"/>
    </xf>
    <xf numFmtId="0" fontId="4" fillId="0" borderId="0" xfId="1" applyFont="1" applyAlignment="1">
      <alignment vertical="center" wrapText="1"/>
    </xf>
    <xf numFmtId="0" fontId="5" fillId="0" borderId="0" xfId="1" applyFont="1" applyAlignment="1">
      <alignment vertical="center" wrapText="1"/>
    </xf>
    <xf numFmtId="0" fontId="15" fillId="0" borderId="7" xfId="1" applyFont="1" applyBorder="1" applyAlignment="1">
      <alignment horizontal="center" vertical="center" wrapText="1"/>
    </xf>
    <xf numFmtId="0" fontId="15" fillId="0" borderId="0" xfId="1" applyFont="1" applyAlignment="1">
      <alignment horizontal="center" vertical="center" wrapText="1"/>
    </xf>
    <xf numFmtId="0" fontId="15" fillId="0" borderId="8" xfId="1" applyFont="1" applyBorder="1" applyAlignment="1">
      <alignment horizontal="center" vertical="center" wrapText="1"/>
    </xf>
    <xf numFmtId="0" fontId="14" fillId="4" borderId="0" xfId="1" applyFont="1" applyFill="1" applyAlignment="1">
      <alignment vertical="top" wrapText="1"/>
    </xf>
    <xf numFmtId="0" fontId="15" fillId="0" borderId="11" xfId="1" applyFont="1" applyBorder="1" applyAlignment="1">
      <alignment vertical="center" wrapText="1"/>
    </xf>
    <xf numFmtId="0" fontId="15" fillId="0" borderId="12" xfId="1" applyFont="1" applyBorder="1" applyAlignment="1">
      <alignment vertical="center" wrapText="1"/>
    </xf>
    <xf numFmtId="0" fontId="15" fillId="0" borderId="13" xfId="1" applyFont="1" applyBorder="1" applyAlignment="1">
      <alignment vertical="center" wrapText="1"/>
    </xf>
    <xf numFmtId="0" fontId="5" fillId="0" borderId="9" xfId="1" applyFont="1" applyBorder="1" applyAlignment="1">
      <alignment vertical="center"/>
    </xf>
    <xf numFmtId="0" fontId="5" fillId="0" borderId="10" xfId="1" applyFont="1" applyBorder="1" applyAlignment="1">
      <alignment vertical="center"/>
    </xf>
    <xf numFmtId="0" fontId="5" fillId="0" borderId="16" xfId="1" applyFont="1" applyBorder="1" applyAlignment="1">
      <alignment vertical="center"/>
    </xf>
    <xf numFmtId="0" fontId="5" fillId="0" borderId="5" xfId="1" applyFont="1" applyBorder="1" applyAlignment="1">
      <alignment vertical="center"/>
    </xf>
    <xf numFmtId="0" fontId="5" fillId="0" borderId="17" xfId="1" applyFont="1" applyBorder="1" applyAlignment="1">
      <alignment vertical="center"/>
    </xf>
    <xf numFmtId="0" fontId="16" fillId="2" borderId="0" xfId="1" applyFont="1" applyFill="1"/>
    <xf numFmtId="0" fontId="14" fillId="0" borderId="0" xfId="1" applyFont="1" applyAlignment="1">
      <alignment vertical="top" wrapText="1"/>
    </xf>
    <xf numFmtId="2" fontId="17" fillId="3" borderId="18" xfId="1" applyNumberFormat="1" applyFont="1" applyFill="1" applyBorder="1" applyAlignment="1">
      <alignment horizontal="left"/>
    </xf>
    <xf numFmtId="0" fontId="17" fillId="3" borderId="18" xfId="1" applyFont="1" applyFill="1" applyBorder="1" applyAlignment="1">
      <alignment horizontal="left"/>
    </xf>
    <xf numFmtId="0" fontId="18" fillId="2" borderId="0" xfId="1" applyFont="1" applyFill="1" applyAlignment="1">
      <alignment horizontal="center" vertical="center"/>
    </xf>
    <xf numFmtId="0" fontId="19" fillId="2" borderId="0" xfId="1" applyFont="1" applyFill="1" applyAlignment="1">
      <alignment horizontal="right" vertical="center"/>
    </xf>
    <xf numFmtId="0" fontId="20" fillId="2" borderId="0" xfId="1" applyFont="1" applyFill="1" applyAlignment="1">
      <alignment vertical="center"/>
    </xf>
    <xf numFmtId="0" fontId="21" fillId="2" borderId="0" xfId="1" applyFont="1" applyFill="1" applyAlignment="1">
      <alignment horizontal="center" vertical="center"/>
    </xf>
    <xf numFmtId="0" fontId="22" fillId="2" borderId="19" xfId="1" applyFont="1" applyFill="1" applyBorder="1" applyAlignment="1">
      <alignment horizontal="center" vertical="center"/>
    </xf>
    <xf numFmtId="0" fontId="23" fillId="2" borderId="19" xfId="1" applyFont="1" applyFill="1" applyBorder="1" applyAlignment="1">
      <alignment horizontal="center" vertical="center"/>
    </xf>
    <xf numFmtId="14" fontId="23" fillId="2" borderId="19" xfId="1" applyNumberFormat="1" applyFont="1" applyFill="1" applyBorder="1" applyAlignment="1">
      <alignment horizontal="center" vertical="center"/>
    </xf>
    <xf numFmtId="49" fontId="22" fillId="2" borderId="19" xfId="1" applyNumberFormat="1" applyFont="1" applyFill="1" applyBorder="1" applyAlignment="1">
      <alignment horizontal="center" vertical="center"/>
    </xf>
    <xf numFmtId="0" fontId="22" fillId="2" borderId="0" xfId="1" applyFont="1" applyFill="1" applyAlignment="1">
      <alignment horizontal="center"/>
    </xf>
    <xf numFmtId="0" fontId="24" fillId="2" borderId="0" xfId="1" applyFont="1" applyFill="1" applyAlignment="1">
      <alignment horizontal="center"/>
    </xf>
    <xf numFmtId="0" fontId="24" fillId="2" borderId="0" xfId="1" applyFont="1" applyFill="1" applyAlignment="1">
      <alignment horizontal="center" vertical="center"/>
    </xf>
    <xf numFmtId="0" fontId="26" fillId="2" borderId="0" xfId="1" applyFont="1" applyFill="1" applyAlignment="1">
      <alignment horizontal="right" vertical="center"/>
    </xf>
    <xf numFmtId="0" fontId="26" fillId="2" borderId="0" xfId="1" applyFont="1" applyFill="1" applyAlignment="1">
      <alignment vertical="center"/>
    </xf>
    <xf numFmtId="0" fontId="24" fillId="2" borderId="0" xfId="1" applyFont="1" applyFill="1" applyAlignment="1">
      <alignment vertical="center"/>
    </xf>
    <xf numFmtId="0" fontId="4" fillId="2" borderId="23" xfId="1" applyFont="1" applyFill="1" applyBorder="1" applyAlignment="1">
      <alignment vertical="center"/>
    </xf>
    <xf numFmtId="49" fontId="18" fillId="2" borderId="23" xfId="1" applyNumberFormat="1" applyFont="1" applyFill="1" applyBorder="1" applyAlignment="1">
      <alignment horizontal="center" vertical="center"/>
    </xf>
    <xf numFmtId="0" fontId="19" fillId="2" borderId="23" xfId="1" applyFont="1" applyFill="1" applyBorder="1" applyAlignment="1">
      <alignment horizontal="right" vertical="center"/>
    </xf>
    <xf numFmtId="0" fontId="5" fillId="2" borderId="23" xfId="1" applyFont="1" applyFill="1" applyBorder="1" applyAlignment="1">
      <alignment vertical="center"/>
    </xf>
    <xf numFmtId="0" fontId="20" fillId="2" borderId="23" xfId="1" applyFont="1" applyFill="1" applyBorder="1" applyAlignment="1">
      <alignment vertical="center"/>
    </xf>
    <xf numFmtId="0" fontId="5" fillId="2" borderId="24" xfId="1" applyFont="1" applyFill="1" applyBorder="1" applyAlignment="1">
      <alignment vertical="center"/>
    </xf>
    <xf numFmtId="0" fontId="9" fillId="3" borderId="0" xfId="1" applyFont="1" applyFill="1" applyAlignment="1">
      <alignment horizontal="left" vertical="center"/>
    </xf>
    <xf numFmtId="0" fontId="6" fillId="3" borderId="0" xfId="1" applyFont="1" applyFill="1" applyAlignment="1">
      <alignment horizontal="right" vertical="center"/>
    </xf>
    <xf numFmtId="0" fontId="6" fillId="3" borderId="0" xfId="1" applyFont="1" applyFill="1" applyAlignment="1">
      <alignment horizontal="left" vertical="center"/>
    </xf>
    <xf numFmtId="0" fontId="7" fillId="3" borderId="1" xfId="1" applyFont="1" applyFill="1" applyBorder="1" applyAlignment="1">
      <alignment horizontal="center" vertical="center"/>
    </xf>
    <xf numFmtId="164" fontId="7" fillId="3" borderId="1" xfId="1" applyNumberFormat="1" applyFont="1" applyFill="1" applyBorder="1" applyAlignment="1">
      <alignment horizontal="center" vertical="center"/>
    </xf>
    <xf numFmtId="0" fontId="7" fillId="3" borderId="0" xfId="1" applyFont="1" applyFill="1" applyAlignment="1">
      <alignment horizontal="center" vertical="center"/>
    </xf>
    <xf numFmtId="164" fontId="7" fillId="3" borderId="5" xfId="1" applyNumberFormat="1" applyFont="1" applyFill="1" applyBorder="1" applyAlignment="1">
      <alignment horizontal="center" vertical="center"/>
    </xf>
    <xf numFmtId="0" fontId="7" fillId="3" borderId="5" xfId="1" applyFont="1" applyFill="1" applyBorder="1" applyAlignment="1">
      <alignment horizontal="center" vertical="center"/>
    </xf>
    <xf numFmtId="165" fontId="7" fillId="3" borderId="1" xfId="1" applyNumberFormat="1" applyFont="1" applyFill="1" applyBorder="1" applyAlignment="1">
      <alignment horizontal="center" vertical="center"/>
    </xf>
    <xf numFmtId="166" fontId="7" fillId="3" borderId="1" xfId="1" applyNumberFormat="1" applyFont="1" applyFill="1" applyBorder="1" applyAlignment="1">
      <alignment horizontal="center" vertical="center"/>
    </xf>
    <xf numFmtId="1" fontId="7" fillId="3" borderId="5" xfId="1" applyNumberFormat="1" applyFont="1" applyFill="1" applyBorder="1" applyAlignment="1">
      <alignment horizontal="center" vertical="center"/>
    </xf>
    <xf numFmtId="0" fontId="5" fillId="2" borderId="0" xfId="1" applyFont="1" applyFill="1" applyAlignment="1">
      <alignment vertical="center" wrapText="1"/>
    </xf>
    <xf numFmtId="0" fontId="4" fillId="2" borderId="0" xfId="1" applyFont="1" applyFill="1" applyAlignment="1">
      <alignment horizontal="right" vertical="center"/>
    </xf>
    <xf numFmtId="0" fontId="4" fillId="2" borderId="25" xfId="1" applyFont="1" applyFill="1" applyBorder="1" applyAlignment="1">
      <alignment vertical="center"/>
    </xf>
    <xf numFmtId="0" fontId="5" fillId="0" borderId="2" xfId="1" applyFont="1" applyBorder="1" applyAlignment="1">
      <alignment vertical="center"/>
    </xf>
    <xf numFmtId="0" fontId="5" fillId="0" borderId="15" xfId="1" applyFont="1" applyBorder="1" applyAlignment="1">
      <alignment vertical="center"/>
    </xf>
    <xf numFmtId="0" fontId="5" fillId="0" borderId="14" xfId="1" applyFont="1" applyBorder="1" applyAlignment="1">
      <alignment vertical="center"/>
    </xf>
    <xf numFmtId="0" fontId="11" fillId="3" borderId="0" xfId="1" applyFont="1" applyFill="1" applyAlignment="1">
      <alignment horizontal="left" indent="2"/>
    </xf>
    <xf numFmtId="1" fontId="9" fillId="3" borderId="25" xfId="1" applyNumberFormat="1" applyFont="1" applyFill="1" applyBorder="1" applyAlignment="1">
      <alignment horizontal="center" vertical="center"/>
    </xf>
    <xf numFmtId="1" fontId="29" fillId="6" borderId="25" xfId="1" applyNumberFormat="1" applyFont="1" applyFill="1" applyBorder="1" applyAlignment="1">
      <alignment horizontal="center" vertical="center"/>
    </xf>
    <xf numFmtId="0" fontId="29" fillId="6" borderId="25" xfId="1" applyFont="1" applyFill="1" applyBorder="1" applyAlignment="1">
      <alignment horizontal="center" vertical="center"/>
    </xf>
    <xf numFmtId="164" fontId="9" fillId="3" borderId="25" xfId="1" applyNumberFormat="1" applyFont="1" applyFill="1" applyBorder="1" applyAlignment="1">
      <alignment horizontal="center" vertical="center"/>
    </xf>
    <xf numFmtId="11" fontId="9" fillId="3" borderId="25" xfId="1" applyNumberFormat="1" applyFont="1" applyFill="1" applyBorder="1" applyAlignment="1">
      <alignment horizontal="center" vertical="center"/>
    </xf>
    <xf numFmtId="0" fontId="33" fillId="3" borderId="1" xfId="1" applyFont="1" applyFill="1" applyBorder="1" applyAlignment="1">
      <alignment horizontal="right" vertical="center"/>
    </xf>
    <xf numFmtId="0" fontId="32" fillId="3" borderId="1" xfId="1" applyFont="1" applyFill="1" applyBorder="1" applyAlignment="1">
      <alignment horizontal="right" vertical="center"/>
    </xf>
    <xf numFmtId="0" fontId="33" fillId="3" borderId="5" xfId="1" applyFont="1" applyFill="1" applyBorder="1" applyAlignment="1">
      <alignment horizontal="right" vertical="center"/>
    </xf>
    <xf numFmtId="165" fontId="7" fillId="3" borderId="5" xfId="1" applyNumberFormat="1" applyFont="1" applyFill="1" applyBorder="1" applyAlignment="1">
      <alignment horizontal="center" vertical="center"/>
    </xf>
    <xf numFmtId="0" fontId="4" fillId="2" borderId="0" xfId="2" applyFont="1" applyFill="1" applyAlignment="1">
      <alignment vertical="center"/>
    </xf>
    <xf numFmtId="0" fontId="4" fillId="0" borderId="0" xfId="2" applyFont="1" applyAlignment="1">
      <alignment vertical="center"/>
    </xf>
    <xf numFmtId="0" fontId="5" fillId="0" borderId="0" xfId="2" applyFont="1" applyAlignment="1">
      <alignment vertical="center"/>
    </xf>
    <xf numFmtId="14" fontId="4" fillId="2" borderId="0" xfId="2" applyNumberFormat="1" applyFont="1" applyFill="1" applyAlignment="1">
      <alignment vertical="center"/>
    </xf>
    <xf numFmtId="0" fontId="15" fillId="0" borderId="26" xfId="1" applyFont="1" applyBorder="1" applyAlignment="1">
      <alignment horizontal="center" vertical="center" wrapText="1"/>
    </xf>
    <xf numFmtId="0" fontId="15" fillId="0" borderId="2" xfId="1" applyFont="1" applyBorder="1" applyAlignment="1">
      <alignment horizontal="center" vertical="center" wrapText="1"/>
    </xf>
    <xf numFmtId="0" fontId="15" fillId="0" borderId="27" xfId="1" applyFont="1" applyBorder="1" applyAlignment="1">
      <alignment horizontal="center" vertical="center" wrapText="1"/>
    </xf>
    <xf numFmtId="164" fontId="7" fillId="3" borderId="2" xfId="1" applyNumberFormat="1" applyFont="1" applyFill="1" applyBorder="1" applyAlignment="1">
      <alignment horizontal="center" vertical="center"/>
    </xf>
    <xf numFmtId="0" fontId="6" fillId="3" borderId="2" xfId="1" applyFont="1" applyFill="1" applyBorder="1" applyAlignment="1">
      <alignment horizontal="left" vertical="center"/>
    </xf>
    <xf numFmtId="0" fontId="11" fillId="3" borderId="3" xfId="1" applyFont="1" applyFill="1" applyBorder="1" applyAlignment="1">
      <alignment horizontal="left" wrapText="1"/>
    </xf>
    <xf numFmtId="0" fontId="11" fillId="3" borderId="0" xfId="1" applyFont="1" applyFill="1" applyAlignment="1">
      <alignment horizontal="left" wrapText="1" indent="2"/>
    </xf>
    <xf numFmtId="164" fontId="7" fillId="3" borderId="0" xfId="1" applyNumberFormat="1" applyFont="1" applyFill="1" applyAlignment="1">
      <alignment horizontal="center" vertical="center"/>
    </xf>
    <xf numFmtId="166" fontId="7" fillId="3" borderId="2" xfId="1" applyNumberFormat="1" applyFont="1" applyFill="1" applyBorder="1" applyAlignment="1">
      <alignment horizontal="center" vertical="center"/>
    </xf>
    <xf numFmtId="1" fontId="7" fillId="3" borderId="1" xfId="1" applyNumberFormat="1" applyFont="1" applyFill="1" applyBorder="1" applyAlignment="1">
      <alignment horizontal="center" vertical="center"/>
    </xf>
    <xf numFmtId="0" fontId="36" fillId="4" borderId="0" xfId="1" applyFont="1" applyFill="1" applyAlignment="1">
      <alignment vertical="center"/>
    </xf>
    <xf numFmtId="0" fontId="37" fillId="4" borderId="0" xfId="1" applyFont="1" applyFill="1" applyAlignment="1">
      <alignment horizontal="center" vertical="center"/>
    </xf>
    <xf numFmtId="0" fontId="38" fillId="4" borderId="0" xfId="1" applyFont="1" applyFill="1" applyAlignment="1">
      <alignment horizontal="center" vertical="center"/>
    </xf>
    <xf numFmtId="164" fontId="36" fillId="4" borderId="28" xfId="1" applyNumberFormat="1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7" borderId="0" xfId="0" applyFill="1"/>
    <xf numFmtId="0" fontId="41" fillId="0" borderId="0" xfId="0" applyFont="1" applyAlignment="1">
      <alignment horizontal="center"/>
    </xf>
    <xf numFmtId="167" fontId="0" fillId="0" borderId="0" xfId="0" applyNumberFormat="1" applyAlignment="1">
      <alignment horizontal="center"/>
    </xf>
    <xf numFmtId="164" fontId="0" fillId="7" borderId="0" xfId="0" applyNumberFormat="1" applyFill="1" applyAlignment="1">
      <alignment horizontal="center"/>
    </xf>
    <xf numFmtId="2" fontId="0" fillId="7" borderId="0" xfId="0" applyNumberFormat="1" applyFill="1" applyAlignment="1">
      <alignment horizontal="center"/>
    </xf>
    <xf numFmtId="166" fontId="0" fillId="7" borderId="0" xfId="0" applyNumberFormat="1" applyFill="1" applyAlignment="1">
      <alignment horizontal="center"/>
    </xf>
    <xf numFmtId="0" fontId="0" fillId="7" borderId="0" xfId="0" applyFill="1" applyAlignment="1">
      <alignment horizontal="center"/>
    </xf>
    <xf numFmtId="1" fontId="0" fillId="7" borderId="0" xfId="0" applyNumberFormat="1" applyFill="1" applyAlignment="1">
      <alignment horizontal="center"/>
    </xf>
    <xf numFmtId="0" fontId="43" fillId="0" borderId="0" xfId="0" applyFont="1" applyAlignment="1">
      <alignment horizontal="center"/>
    </xf>
    <xf numFmtId="165" fontId="0" fillId="7" borderId="0" xfId="0" applyNumberFormat="1" applyFill="1" applyAlignment="1">
      <alignment horizontal="center"/>
    </xf>
    <xf numFmtId="11" fontId="0" fillId="7" borderId="0" xfId="0" applyNumberFormat="1" applyFill="1" applyAlignment="1">
      <alignment horizontal="center"/>
    </xf>
    <xf numFmtId="0" fontId="0" fillId="0" borderId="29" xfId="0" applyBorder="1"/>
    <xf numFmtId="0" fontId="44" fillId="0" borderId="29" xfId="0" applyFont="1" applyBorder="1" applyAlignment="1">
      <alignment horizontal="center"/>
    </xf>
    <xf numFmtId="0" fontId="44" fillId="0" borderId="0" xfId="0" applyFont="1"/>
    <xf numFmtId="168" fontId="0" fillId="7" borderId="0" xfId="3" applyNumberFormat="1" applyFont="1" applyFill="1" applyAlignment="1">
      <alignment horizontal="center"/>
    </xf>
    <xf numFmtId="0" fontId="4" fillId="4" borderId="0" xfId="1" applyFont="1" applyFill="1" applyAlignment="1">
      <alignment vertical="center"/>
    </xf>
    <xf numFmtId="164" fontId="36" fillId="4" borderId="25" xfId="1" applyNumberFormat="1" applyFont="1" applyFill="1" applyBorder="1" applyAlignment="1">
      <alignment horizontal="center" vertical="center"/>
    </xf>
    <xf numFmtId="164" fontId="39" fillId="4" borderId="25" xfId="1" applyNumberFormat="1" applyFont="1" applyFill="1" applyBorder="1" applyAlignment="1">
      <alignment horizontal="center" vertical="center"/>
    </xf>
    <xf numFmtId="169" fontId="39" fillId="4" borderId="28" xfId="1" applyNumberFormat="1" applyFont="1" applyFill="1" applyBorder="1" applyAlignment="1">
      <alignment horizontal="center" vertical="center"/>
    </xf>
    <xf numFmtId="164" fontId="36" fillId="4" borderId="0" xfId="1" applyNumberFormat="1" applyFont="1" applyFill="1" applyAlignment="1">
      <alignment horizontal="center" vertical="center"/>
    </xf>
    <xf numFmtId="164" fontId="39" fillId="4" borderId="0" xfId="1" applyNumberFormat="1" applyFont="1" applyFill="1" applyAlignment="1">
      <alignment horizontal="center" vertical="center"/>
    </xf>
    <xf numFmtId="165" fontId="7" fillId="3" borderId="0" xfId="1" applyNumberFormat="1" applyFont="1" applyFill="1" applyAlignment="1">
      <alignment horizontal="center" vertical="center"/>
    </xf>
    <xf numFmtId="0" fontId="11" fillId="3" borderId="0" xfId="1" applyFont="1" applyFill="1" applyAlignment="1">
      <alignment horizontal="left"/>
    </xf>
    <xf numFmtId="0" fontId="7" fillId="8" borderId="30" xfId="1" applyFont="1" applyFill="1" applyBorder="1" applyAlignment="1">
      <alignment horizontal="center" vertical="center"/>
    </xf>
    <xf numFmtId="0" fontId="0" fillId="9" borderId="0" xfId="0" applyFill="1"/>
    <xf numFmtId="164" fontId="15" fillId="7" borderId="0" xfId="0" applyNumberFormat="1" applyFont="1" applyFill="1" applyAlignment="1">
      <alignment horizontal="center"/>
    </xf>
    <xf numFmtId="0" fontId="15" fillId="0" borderId="0" xfId="0" applyFont="1" applyAlignment="1">
      <alignment horizontal="center"/>
    </xf>
    <xf numFmtId="167" fontId="15" fillId="0" borderId="0" xfId="0" applyNumberFormat="1" applyFont="1" applyAlignment="1">
      <alignment horizontal="center"/>
    </xf>
    <xf numFmtId="0" fontId="15" fillId="0" borderId="0" xfId="0" applyFont="1"/>
    <xf numFmtId="0" fontId="4" fillId="2" borderId="0" xfId="1" applyFont="1" applyFill="1" applyAlignment="1">
      <alignment horizontal="center" vertical="center"/>
    </xf>
    <xf numFmtId="0" fontId="50" fillId="0" borderId="28" xfId="0" applyFont="1" applyBorder="1" applyAlignment="1">
      <alignment horizontal="center"/>
    </xf>
    <xf numFmtId="0" fontId="51" fillId="8" borderId="30" xfId="0" applyFont="1" applyFill="1" applyBorder="1" applyAlignment="1">
      <alignment horizontal="center"/>
    </xf>
    <xf numFmtId="0" fontId="52" fillId="0" borderId="0" xfId="0" applyFont="1" applyAlignment="1">
      <alignment horizontal="center"/>
    </xf>
    <xf numFmtId="0" fontId="4" fillId="2" borderId="0" xfId="1" applyFont="1" applyFill="1" applyAlignment="1">
      <alignment horizontal="left" vertical="center"/>
    </xf>
    <xf numFmtId="170" fontId="0" fillId="7" borderId="0" xfId="0" applyNumberFormat="1" applyFill="1" applyAlignment="1">
      <alignment horizontal="center"/>
    </xf>
    <xf numFmtId="171" fontId="0" fillId="7" borderId="0" xfId="0" applyNumberFormat="1" applyFill="1" applyAlignment="1">
      <alignment horizontal="center"/>
    </xf>
    <xf numFmtId="0" fontId="54" fillId="0" borderId="0" xfId="0" applyFont="1" applyAlignment="1">
      <alignment horizontal="center"/>
    </xf>
    <xf numFmtId="0" fontId="55" fillId="0" borderId="0" xfId="0" applyFont="1" applyAlignment="1">
      <alignment horizontal="center"/>
    </xf>
    <xf numFmtId="0" fontId="56" fillId="0" borderId="0" xfId="0" applyFont="1" applyAlignment="1">
      <alignment horizontal="center"/>
    </xf>
    <xf numFmtId="0" fontId="57" fillId="0" borderId="0" xfId="0" applyFont="1" applyAlignment="1">
      <alignment horizontal="center"/>
    </xf>
    <xf numFmtId="0" fontId="59" fillId="0" borderId="0" xfId="0" applyFont="1"/>
    <xf numFmtId="167" fontId="59" fillId="0" borderId="0" xfId="0" applyNumberFormat="1" applyFont="1" applyAlignment="1">
      <alignment horizontal="center"/>
    </xf>
    <xf numFmtId="0" fontId="59" fillId="0" borderId="0" xfId="0" applyFont="1" applyAlignment="1">
      <alignment horizontal="center"/>
    </xf>
    <xf numFmtId="0" fontId="58" fillId="0" borderId="0" xfId="0" applyFont="1" applyAlignment="1">
      <alignment horizontal="center"/>
    </xf>
    <xf numFmtId="172" fontId="0" fillId="7" borderId="0" xfId="0" applyNumberFormat="1" applyFill="1" applyAlignment="1">
      <alignment horizontal="center"/>
    </xf>
    <xf numFmtId="2" fontId="9" fillId="3" borderId="25" xfId="1" applyNumberFormat="1" applyFont="1" applyFill="1" applyBorder="1" applyAlignment="1">
      <alignment horizontal="center" vertical="center"/>
    </xf>
    <xf numFmtId="173" fontId="0" fillId="0" borderId="0" xfId="0" applyNumberFormat="1"/>
    <xf numFmtId="11" fontId="7" fillId="3" borderId="1" xfId="1" applyNumberFormat="1" applyFont="1" applyFill="1" applyBorder="1" applyAlignment="1">
      <alignment horizontal="center" vertical="center"/>
    </xf>
    <xf numFmtId="2" fontId="7" fillId="3" borderId="5" xfId="1" applyNumberFormat="1" applyFont="1" applyFill="1" applyBorder="1" applyAlignment="1">
      <alignment horizontal="center" vertical="center"/>
    </xf>
    <xf numFmtId="0" fontId="40" fillId="0" borderId="0" xfId="4" applyFont="1" applyAlignment="1">
      <alignment horizontal="right"/>
    </xf>
    <xf numFmtId="0" fontId="60" fillId="0" borderId="0" xfId="4" applyFont="1" applyAlignment="1">
      <alignment horizontal="center"/>
    </xf>
    <xf numFmtId="0" fontId="61" fillId="0" borderId="0" xfId="0" applyFont="1" applyAlignment="1">
      <alignment horizontal="left"/>
    </xf>
    <xf numFmtId="0" fontId="22" fillId="2" borderId="22" xfId="1" applyFont="1" applyFill="1" applyBorder="1" applyAlignment="1">
      <alignment horizontal="left" vertical="center"/>
    </xf>
    <xf numFmtId="0" fontId="22" fillId="2" borderId="21" xfId="1" applyFont="1" applyFill="1" applyBorder="1" applyAlignment="1">
      <alignment horizontal="left" vertical="center"/>
    </xf>
    <xf numFmtId="0" fontId="22" fillId="2" borderId="20" xfId="1" applyFont="1" applyFill="1" applyBorder="1" applyAlignment="1">
      <alignment horizontal="left" vertical="center"/>
    </xf>
    <xf numFmtId="0" fontId="35" fillId="3" borderId="1" xfId="2" applyFont="1" applyFill="1" applyBorder="1" applyAlignment="1">
      <alignment horizontal="left" vertical="center"/>
    </xf>
    <xf numFmtId="14" fontId="9" fillId="3" borderId="1" xfId="2" applyNumberFormat="1" applyFont="1" applyFill="1" applyBorder="1" applyAlignment="1">
      <alignment horizontal="left" vertical="center" shrinkToFit="1"/>
    </xf>
    <xf numFmtId="0" fontId="9" fillId="3" borderId="1" xfId="2" applyFont="1" applyFill="1" applyBorder="1" applyAlignment="1">
      <alignment horizontal="left" vertical="center"/>
    </xf>
    <xf numFmtId="0" fontId="25" fillId="2" borderId="0" xfId="1" applyFont="1" applyFill="1" applyAlignment="1">
      <alignment horizontal="left" vertical="top" wrapText="1"/>
    </xf>
    <xf numFmtId="0" fontId="25" fillId="2" borderId="0" xfId="1" applyFont="1" applyFill="1" applyAlignment="1">
      <alignment horizontal="left" vertical="top"/>
    </xf>
    <xf numFmtId="0" fontId="24" fillId="2" borderId="6" xfId="1" applyFont="1" applyFill="1" applyBorder="1" applyAlignment="1">
      <alignment horizontal="center"/>
    </xf>
    <xf numFmtId="0" fontId="9" fillId="3" borderId="1" xfId="2" quotePrefix="1" applyFont="1" applyFill="1" applyBorder="1" applyAlignment="1">
      <alignment horizontal="left" vertical="center"/>
    </xf>
    <xf numFmtId="0" fontId="14" fillId="5" borderId="10" xfId="1" applyFont="1" applyFill="1" applyBorder="1" applyAlignment="1">
      <alignment horizontal="center" vertical="center" wrapText="1"/>
    </xf>
    <xf numFmtId="0" fontId="14" fillId="5" borderId="0" xfId="1" applyFont="1" applyFill="1" applyAlignment="1">
      <alignment horizontal="center" vertical="center" wrapText="1"/>
    </xf>
    <xf numFmtId="0" fontId="14" fillId="5" borderId="9" xfId="1" applyFont="1" applyFill="1" applyBorder="1" applyAlignment="1">
      <alignment horizontal="center" vertical="center" wrapText="1"/>
    </xf>
  </cellXfs>
  <cellStyles count="5">
    <cellStyle name="Normal" xfId="0" builtinId="0"/>
    <cellStyle name="Normal 2" xfId="1" xr:uid="{441ACF27-160B-4F68-B601-75E0F5333046}"/>
    <cellStyle name="Normal 3" xfId="2" xr:uid="{E743A38D-16A7-497B-BF78-6D533003511F}"/>
    <cellStyle name="Percent" xfId="3" builtinId="5"/>
    <cellStyle name="Standard 2" xfId="4" xr:uid="{8EDAC5BA-93D2-4133-8B1C-A233865E32C9}"/>
  </cellStyles>
  <dxfs count="28"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color rgb="FF00B050"/>
      </font>
    </dxf>
    <dxf>
      <font>
        <color rgb="FF00B050"/>
      </font>
    </dxf>
    <dxf>
      <font>
        <color rgb="FF00B050"/>
      </font>
    </dxf>
    <dxf>
      <font>
        <color rgb="FF00B050"/>
      </font>
    </dxf>
    <dxf>
      <font>
        <color rgb="FF00B050"/>
      </font>
    </dxf>
    <dxf>
      <font>
        <color rgb="FF00B050"/>
      </font>
    </dxf>
    <dxf>
      <font>
        <color rgb="FF00B050"/>
      </font>
    </dxf>
    <dxf>
      <font>
        <color rgb="FF00B050"/>
      </font>
    </dxf>
    <dxf>
      <font>
        <color rgb="FF00B050"/>
      </font>
    </dxf>
    <dxf>
      <font>
        <color rgb="FF00B050"/>
      </font>
    </dxf>
    <dxf>
      <font>
        <color rgb="FF00B050"/>
      </font>
    </dxf>
    <dxf>
      <font>
        <color rgb="FF00B05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Gap30deg!$O$66:$DJ$66</c:f>
              <c:numCache>
                <c:formatCode>General</c:formatCode>
                <c:ptCount val="100"/>
                <c:pt idx="0">
                  <c:v>-1411.8867178057162</c:v>
                </c:pt>
                <c:pt idx="1">
                  <c:v>-1376.3492646910029</c:v>
                </c:pt>
                <c:pt idx="2">
                  <c:v>-1340.8118115762895</c:v>
                </c:pt>
                <c:pt idx="3">
                  <c:v>-1305.2743584615762</c:v>
                </c:pt>
                <c:pt idx="4">
                  <c:v>-1269.7369053468631</c:v>
                </c:pt>
                <c:pt idx="5">
                  <c:v>-1234.19945223215</c:v>
                </c:pt>
                <c:pt idx="6">
                  <c:v>-1198.6619991174366</c:v>
                </c:pt>
                <c:pt idx="7">
                  <c:v>-1163.1245460027233</c:v>
                </c:pt>
                <c:pt idx="8">
                  <c:v>-1127.5870928880099</c:v>
                </c:pt>
                <c:pt idx="9">
                  <c:v>-1092.0496397732966</c:v>
                </c:pt>
                <c:pt idx="10">
                  <c:v>-1056.5121866585835</c:v>
                </c:pt>
                <c:pt idx="11">
                  <c:v>-1020.9747335438701</c:v>
                </c:pt>
                <c:pt idx="12">
                  <c:v>-985.43728042915689</c:v>
                </c:pt>
                <c:pt idx="13">
                  <c:v>-949.89982731444354</c:v>
                </c:pt>
                <c:pt idx="14">
                  <c:v>-914.36237419973031</c:v>
                </c:pt>
                <c:pt idx="15">
                  <c:v>-878.82492108501708</c:v>
                </c:pt>
                <c:pt idx="16">
                  <c:v>-843.28746797030374</c:v>
                </c:pt>
                <c:pt idx="17">
                  <c:v>-807.75001485559039</c:v>
                </c:pt>
                <c:pt idx="18">
                  <c:v>-772.21256174087716</c:v>
                </c:pt>
                <c:pt idx="19">
                  <c:v>-736.67510862616393</c:v>
                </c:pt>
                <c:pt idx="20">
                  <c:v>-701.13765551145059</c:v>
                </c:pt>
                <c:pt idx="21">
                  <c:v>-665.60020239673725</c:v>
                </c:pt>
                <c:pt idx="22">
                  <c:v>-630.06274928202413</c:v>
                </c:pt>
                <c:pt idx="23">
                  <c:v>-594.52529616731078</c:v>
                </c:pt>
                <c:pt idx="24">
                  <c:v>-558.98784305259744</c:v>
                </c:pt>
                <c:pt idx="25">
                  <c:v>-523.45038993788421</c:v>
                </c:pt>
                <c:pt idx="26">
                  <c:v>-487.91293682317087</c:v>
                </c:pt>
                <c:pt idx="27">
                  <c:v>-452.37548370845769</c:v>
                </c:pt>
                <c:pt idx="28">
                  <c:v>-416.83803059374435</c:v>
                </c:pt>
                <c:pt idx="29">
                  <c:v>-381.30057747903106</c:v>
                </c:pt>
                <c:pt idx="30">
                  <c:v>-345.76312436431783</c:v>
                </c:pt>
                <c:pt idx="31">
                  <c:v>-310.22567124960455</c:v>
                </c:pt>
                <c:pt idx="32">
                  <c:v>-274.68821813489126</c:v>
                </c:pt>
                <c:pt idx="33">
                  <c:v>-239.15076502017794</c:v>
                </c:pt>
                <c:pt idx="34">
                  <c:v>-203.61331190546463</c:v>
                </c:pt>
                <c:pt idx="35">
                  <c:v>-168.07585879075131</c:v>
                </c:pt>
                <c:pt idx="36">
                  <c:v>-132.538405676038</c:v>
                </c:pt>
                <c:pt idx="37">
                  <c:v>-97.000952561324922</c:v>
                </c:pt>
                <c:pt idx="38">
                  <c:v>-61.463499446611621</c:v>
                </c:pt>
                <c:pt idx="39">
                  <c:v>-25.926046331898309</c:v>
                </c:pt>
                <c:pt idx="40">
                  <c:v>9.6114067828149992</c:v>
                </c:pt>
                <c:pt idx="41">
                  <c:v>45.148859897528311</c:v>
                </c:pt>
                <c:pt idx="42">
                  <c:v>80.686313012241612</c:v>
                </c:pt>
                <c:pt idx="43">
                  <c:v>116.22376612695493</c:v>
                </c:pt>
                <c:pt idx="44">
                  <c:v>151.76121924166802</c:v>
                </c:pt>
                <c:pt idx="45">
                  <c:v>187.2986723563813</c:v>
                </c:pt>
                <c:pt idx="46">
                  <c:v>222.83612547109462</c:v>
                </c:pt>
                <c:pt idx="47">
                  <c:v>258.37357858580793</c:v>
                </c:pt>
                <c:pt idx="48">
                  <c:v>293.91103170052122</c:v>
                </c:pt>
                <c:pt idx="49">
                  <c:v>329.44848481523456</c:v>
                </c:pt>
                <c:pt idx="50">
                  <c:v>364.98593792994785</c:v>
                </c:pt>
                <c:pt idx="51">
                  <c:v>400.5233910446612</c:v>
                </c:pt>
                <c:pt idx="52">
                  <c:v>436.06084415937448</c:v>
                </c:pt>
                <c:pt idx="53">
                  <c:v>471.59829727408754</c:v>
                </c:pt>
                <c:pt idx="54">
                  <c:v>507.13575038880089</c:v>
                </c:pt>
                <c:pt idx="55">
                  <c:v>542.67320350351417</c:v>
                </c:pt>
                <c:pt idx="56">
                  <c:v>578.21065661822752</c:v>
                </c:pt>
                <c:pt idx="57">
                  <c:v>613.74810973294075</c:v>
                </c:pt>
                <c:pt idx="58">
                  <c:v>649.28556284765409</c:v>
                </c:pt>
                <c:pt idx="59">
                  <c:v>684.82301596236744</c:v>
                </c:pt>
                <c:pt idx="60">
                  <c:v>720.36046907708044</c:v>
                </c:pt>
                <c:pt idx="61">
                  <c:v>755.89792219179401</c:v>
                </c:pt>
                <c:pt idx="62">
                  <c:v>791.43537530650713</c:v>
                </c:pt>
                <c:pt idx="63">
                  <c:v>826.9728284212207</c:v>
                </c:pt>
                <c:pt idx="64">
                  <c:v>862.5102815359337</c:v>
                </c:pt>
                <c:pt idx="65">
                  <c:v>898.04773465064682</c:v>
                </c:pt>
                <c:pt idx="66">
                  <c:v>933.58518776536039</c:v>
                </c:pt>
                <c:pt idx="67">
                  <c:v>969.12264088007339</c:v>
                </c:pt>
                <c:pt idx="68">
                  <c:v>1004.660093994787</c:v>
                </c:pt>
                <c:pt idx="69">
                  <c:v>1040.1975471095</c:v>
                </c:pt>
                <c:pt idx="70">
                  <c:v>1075.7350002242135</c:v>
                </c:pt>
                <c:pt idx="71">
                  <c:v>1111.2724533389267</c:v>
                </c:pt>
                <c:pt idx="72">
                  <c:v>1146.8099064536402</c:v>
                </c:pt>
                <c:pt idx="73">
                  <c:v>1182.3473595683533</c:v>
                </c:pt>
                <c:pt idx="74">
                  <c:v>1217.8848126830665</c:v>
                </c:pt>
                <c:pt idx="75">
                  <c:v>1253.4222657977798</c:v>
                </c:pt>
                <c:pt idx="76">
                  <c:v>1288.9597189124929</c:v>
                </c:pt>
                <c:pt idx="77">
                  <c:v>1324.4971720272065</c:v>
                </c:pt>
                <c:pt idx="78">
                  <c:v>1360.0346251419196</c:v>
                </c:pt>
                <c:pt idx="79">
                  <c:v>1395.5720782566332</c:v>
                </c:pt>
                <c:pt idx="80">
                  <c:v>1431.1095313713463</c:v>
                </c:pt>
                <c:pt idx="81">
                  <c:v>1466.6469844860592</c:v>
                </c:pt>
                <c:pt idx="82">
                  <c:v>1502.1844376007728</c:v>
                </c:pt>
                <c:pt idx="83">
                  <c:v>1537.7218907154859</c:v>
                </c:pt>
                <c:pt idx="84">
                  <c:v>1573.2593438301994</c:v>
                </c:pt>
                <c:pt idx="85">
                  <c:v>1608.7967969449126</c:v>
                </c:pt>
                <c:pt idx="86">
                  <c:v>1644.3342500596261</c:v>
                </c:pt>
                <c:pt idx="87">
                  <c:v>1679.8717031743392</c:v>
                </c:pt>
                <c:pt idx="88">
                  <c:v>1715.4091562890521</c:v>
                </c:pt>
                <c:pt idx="89">
                  <c:v>1750.9466094037657</c:v>
                </c:pt>
                <c:pt idx="90">
                  <c:v>1786.4840625184788</c:v>
                </c:pt>
                <c:pt idx="91">
                  <c:v>1822.0215156331924</c:v>
                </c:pt>
                <c:pt idx="92">
                  <c:v>1857.5589687479055</c:v>
                </c:pt>
                <c:pt idx="93">
                  <c:v>1893.0964218626191</c:v>
                </c:pt>
                <c:pt idx="94">
                  <c:v>1928.633874977332</c:v>
                </c:pt>
                <c:pt idx="95">
                  <c:v>1964.1713280920455</c:v>
                </c:pt>
                <c:pt idx="96">
                  <c:v>1999.7087812067587</c:v>
                </c:pt>
                <c:pt idx="97">
                  <c:v>2035.2462343214718</c:v>
                </c:pt>
                <c:pt idx="98">
                  <c:v>2070.7836874361851</c:v>
                </c:pt>
                <c:pt idx="99">
                  <c:v>2106.3211405508987</c:v>
                </c:pt>
              </c:numCache>
            </c:numRef>
          </c:xVal>
          <c:yVal>
            <c:numRef>
              <c:f>Gap30deg!$O$68:$DJ$68</c:f>
              <c:numCache>
                <c:formatCode>General</c:formatCode>
                <c:ptCount val="100"/>
                <c:pt idx="0">
                  <c:v>-229.43355372679758</c:v>
                </c:pt>
                <c:pt idx="1">
                  <c:v>-229.43355372679758</c:v>
                </c:pt>
                <c:pt idx="2">
                  <c:v>-229.43142576896025</c:v>
                </c:pt>
                <c:pt idx="3">
                  <c:v>-229.21001861072142</c:v>
                </c:pt>
                <c:pt idx="4">
                  <c:v>-228.62452504809147</c:v>
                </c:pt>
                <c:pt idx="5">
                  <c:v>-227.67494508107029</c:v>
                </c:pt>
                <c:pt idx="6">
                  <c:v>-226.361278709658</c:v>
                </c:pt>
                <c:pt idx="7">
                  <c:v>-224.6835259338545</c:v>
                </c:pt>
                <c:pt idx="8">
                  <c:v>-222.64168675365985</c:v>
                </c:pt>
                <c:pt idx="9">
                  <c:v>-220.23576116907398</c:v>
                </c:pt>
                <c:pt idx="10">
                  <c:v>-217.46574918009699</c:v>
                </c:pt>
                <c:pt idx="11">
                  <c:v>-214.33165078672883</c:v>
                </c:pt>
                <c:pt idx="12">
                  <c:v>-210.83346598896949</c:v>
                </c:pt>
                <c:pt idx="13">
                  <c:v>-206.97119478681898</c:v>
                </c:pt>
                <c:pt idx="14">
                  <c:v>-202.74483718027727</c:v>
                </c:pt>
                <c:pt idx="15">
                  <c:v>-198.15439316934436</c:v>
                </c:pt>
                <c:pt idx="16">
                  <c:v>-193.19986275402033</c:v>
                </c:pt>
                <c:pt idx="17">
                  <c:v>-187.88124593430513</c:v>
                </c:pt>
                <c:pt idx="18">
                  <c:v>-182.19854271019878</c:v>
                </c:pt>
                <c:pt idx="19">
                  <c:v>-176.15175308170126</c:v>
                </c:pt>
                <c:pt idx="20">
                  <c:v>-169.74087704881251</c:v>
                </c:pt>
                <c:pt idx="21">
                  <c:v>-162.96591461153261</c:v>
                </c:pt>
                <c:pt idx="22">
                  <c:v>-155.82686576986154</c:v>
                </c:pt>
                <c:pt idx="23">
                  <c:v>-148.32373052379933</c:v>
                </c:pt>
                <c:pt idx="24">
                  <c:v>-140.45650887334591</c:v>
                </c:pt>
                <c:pt idx="25">
                  <c:v>-132.22520081850132</c:v>
                </c:pt>
                <c:pt idx="26">
                  <c:v>-123.62980635926559</c:v>
                </c:pt>
                <c:pt idx="27">
                  <c:v>-114.67032549563868</c:v>
                </c:pt>
                <c:pt idx="28">
                  <c:v>-105.34675822762057</c:v>
                </c:pt>
                <c:pt idx="29">
                  <c:v>-95.6591045552113</c:v>
                </c:pt>
                <c:pt idx="30">
                  <c:v>-85.607364478410886</c:v>
                </c:pt>
                <c:pt idx="31">
                  <c:v>-75.191537997219271</c:v>
                </c:pt>
                <c:pt idx="32">
                  <c:v>-64.411625111636482</c:v>
                </c:pt>
                <c:pt idx="33">
                  <c:v>-53.26762582166252</c:v>
                </c:pt>
                <c:pt idx="34">
                  <c:v>-41.759540127297385</c:v>
                </c:pt>
                <c:pt idx="35">
                  <c:v>-29.88736802854109</c:v>
                </c:pt>
                <c:pt idx="36">
                  <c:v>-17.651109525393615</c:v>
                </c:pt>
                <c:pt idx="37">
                  <c:v>-4.8853549282456541</c:v>
                </c:pt>
                <c:pt idx="38">
                  <c:v>8.828472531793679</c:v>
                </c:pt>
                <c:pt idx="39">
                  <c:v>23.510834162179052</c:v>
                </c:pt>
                <c:pt idx="40">
                  <c:v>39.161729962910449</c:v>
                </c:pt>
                <c:pt idx="41">
                  <c:v>55.781159933987887</c:v>
                </c:pt>
                <c:pt idx="42">
                  <c:v>73.369124075411349</c:v>
                </c:pt>
                <c:pt idx="43">
                  <c:v>91.925622387180852</c:v>
                </c:pt>
                <c:pt idx="44">
                  <c:v>111.45065486929624</c:v>
                </c:pt>
                <c:pt idx="45">
                  <c:v>131.94422152175781</c:v>
                </c:pt>
                <c:pt idx="46">
                  <c:v>153.40632234456541</c:v>
                </c:pt>
                <c:pt idx="47">
                  <c:v>175.83695733771901</c:v>
                </c:pt>
                <c:pt idx="48">
                  <c:v>199.23612650121868</c:v>
                </c:pt>
                <c:pt idx="49">
                  <c:v>223.60382983506435</c:v>
                </c:pt>
                <c:pt idx="50">
                  <c:v>248.94006733925607</c:v>
                </c:pt>
                <c:pt idx="51">
                  <c:v>275.24483901379386</c:v>
                </c:pt>
                <c:pt idx="52">
                  <c:v>302.51814485867766</c:v>
                </c:pt>
                <c:pt idx="53">
                  <c:v>330.75998487390729</c:v>
                </c:pt>
                <c:pt idx="54">
                  <c:v>359.97035905948314</c:v>
                </c:pt>
                <c:pt idx="55">
                  <c:v>390.14926741540501</c:v>
                </c:pt>
                <c:pt idx="56">
                  <c:v>421.29670994167293</c:v>
                </c:pt>
                <c:pt idx="57">
                  <c:v>453.41268663828691</c:v>
                </c:pt>
                <c:pt idx="58">
                  <c:v>486.49719750524685</c:v>
                </c:pt>
                <c:pt idx="59">
                  <c:v>520.55024254255284</c:v>
                </c:pt>
                <c:pt idx="60">
                  <c:v>555.57182175020466</c:v>
                </c:pt>
                <c:pt idx="61">
                  <c:v>591.56193512820289</c:v>
                </c:pt>
                <c:pt idx="62">
                  <c:v>628.52058267654684</c:v>
                </c:pt>
                <c:pt idx="63">
                  <c:v>666.44776439523719</c:v>
                </c:pt>
                <c:pt idx="64">
                  <c:v>705.34348028427303</c:v>
                </c:pt>
                <c:pt idx="65">
                  <c:v>745.20773034365504</c:v>
                </c:pt>
                <c:pt idx="66">
                  <c:v>786.04051457338346</c:v>
                </c:pt>
                <c:pt idx="67">
                  <c:v>827.84183297345749</c:v>
                </c:pt>
                <c:pt idx="68">
                  <c:v>870.61168554387814</c:v>
                </c:pt>
                <c:pt idx="69">
                  <c:v>914.35007228464406</c:v>
                </c:pt>
                <c:pt idx="70">
                  <c:v>959.05699319575672</c:v>
                </c:pt>
                <c:pt idx="71">
                  <c:v>1004.7324482772149</c:v>
                </c:pt>
                <c:pt idx="72">
                  <c:v>1051.3764375290195</c:v>
                </c:pt>
                <c:pt idx="73">
                  <c:v>1098.9889609511699</c:v>
                </c:pt>
                <c:pt idx="74">
                  <c:v>1147.5700185436658</c:v>
                </c:pt>
                <c:pt idx="75">
                  <c:v>1197.1196103065088</c:v>
                </c:pt>
                <c:pt idx="76">
                  <c:v>1247.637736239697</c:v>
                </c:pt>
                <c:pt idx="77">
                  <c:v>1299.1243963432319</c:v>
                </c:pt>
                <c:pt idx="78">
                  <c:v>1351.5795906171122</c:v>
                </c:pt>
                <c:pt idx="79">
                  <c:v>1405.0033190613392</c:v>
                </c:pt>
                <c:pt idx="80">
                  <c:v>1459.3955816759114</c:v>
                </c:pt>
                <c:pt idx="81">
                  <c:v>1514.7563784608299</c:v>
                </c:pt>
                <c:pt idx="82">
                  <c:v>1571.0857094160949</c:v>
                </c:pt>
                <c:pt idx="83">
                  <c:v>1628.3835745417055</c:v>
                </c:pt>
                <c:pt idx="84">
                  <c:v>1686.6499738376626</c:v>
                </c:pt>
                <c:pt idx="85">
                  <c:v>1745.8849073039648</c:v>
                </c:pt>
                <c:pt idx="86">
                  <c:v>1806.0883749406144</c:v>
                </c:pt>
                <c:pt idx="87">
                  <c:v>1867.2603767476087</c:v>
                </c:pt>
                <c:pt idx="88">
                  <c:v>1929.4009127249492</c:v>
                </c:pt>
                <c:pt idx="89">
                  <c:v>1992.5099828726368</c:v>
                </c:pt>
                <c:pt idx="90">
                  <c:v>2056.5875871906692</c:v>
                </c:pt>
                <c:pt idx="91">
                  <c:v>2121.6337256790484</c:v>
                </c:pt>
                <c:pt idx="92">
                  <c:v>2187.6483983377734</c:v>
                </c:pt>
                <c:pt idx="93">
                  <c:v>2254.6316051668446</c:v>
                </c:pt>
                <c:pt idx="94">
                  <c:v>2322.5833461662619</c:v>
                </c:pt>
                <c:pt idx="95">
                  <c:v>2391.5036213360249</c:v>
                </c:pt>
                <c:pt idx="96">
                  <c:v>2461.3924306761337</c:v>
                </c:pt>
                <c:pt idx="97">
                  <c:v>2532.2497741865886</c:v>
                </c:pt>
                <c:pt idx="98">
                  <c:v>2604.0756518673902</c:v>
                </c:pt>
                <c:pt idx="99">
                  <c:v>2676.8700637185379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D62-4B8A-9811-2E7CB3C6127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59877744"/>
        <c:axId val="1213121792"/>
      </c:scatterChart>
      <c:valAx>
        <c:axId val="17598777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Shell Pull Force [kN]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213121792"/>
        <c:crosses val="autoZero"/>
        <c:crossBetween val="midCat"/>
      </c:valAx>
      <c:valAx>
        <c:axId val="12131217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Bolt Bending Moment </a:t>
                </a:r>
                <a:r>
                  <a:rPr lang="en-US" sz="1200" baseline="0"/>
                  <a:t>[N·m]</a:t>
                </a:r>
                <a:endParaRPr lang="en-US" sz="12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7598777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NL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Gap30deg!$O$66:$DJ$66</c:f>
              <c:numCache>
                <c:formatCode>General</c:formatCode>
                <c:ptCount val="100"/>
                <c:pt idx="0">
                  <c:v>-1411.8867178057162</c:v>
                </c:pt>
                <c:pt idx="1">
                  <c:v>-1376.3492646910029</c:v>
                </c:pt>
                <c:pt idx="2">
                  <c:v>-1340.8118115762895</c:v>
                </c:pt>
                <c:pt idx="3">
                  <c:v>-1305.2743584615762</c:v>
                </c:pt>
                <c:pt idx="4">
                  <c:v>-1269.7369053468631</c:v>
                </c:pt>
                <c:pt idx="5">
                  <c:v>-1234.19945223215</c:v>
                </c:pt>
                <c:pt idx="6">
                  <c:v>-1198.6619991174366</c:v>
                </c:pt>
                <c:pt idx="7">
                  <c:v>-1163.1245460027233</c:v>
                </c:pt>
                <c:pt idx="8">
                  <c:v>-1127.5870928880099</c:v>
                </c:pt>
                <c:pt idx="9">
                  <c:v>-1092.0496397732966</c:v>
                </c:pt>
                <c:pt idx="10">
                  <c:v>-1056.5121866585835</c:v>
                </c:pt>
                <c:pt idx="11">
                  <c:v>-1020.9747335438701</c:v>
                </c:pt>
                <c:pt idx="12">
                  <c:v>-985.43728042915689</c:v>
                </c:pt>
                <c:pt idx="13">
                  <c:v>-949.89982731444354</c:v>
                </c:pt>
                <c:pt idx="14">
                  <c:v>-914.36237419973031</c:v>
                </c:pt>
                <c:pt idx="15">
                  <c:v>-878.82492108501708</c:v>
                </c:pt>
                <c:pt idx="16">
                  <c:v>-843.28746797030374</c:v>
                </c:pt>
                <c:pt idx="17">
                  <c:v>-807.75001485559039</c:v>
                </c:pt>
                <c:pt idx="18">
                  <c:v>-772.21256174087716</c:v>
                </c:pt>
                <c:pt idx="19">
                  <c:v>-736.67510862616393</c:v>
                </c:pt>
                <c:pt idx="20">
                  <c:v>-701.13765551145059</c:v>
                </c:pt>
                <c:pt idx="21">
                  <c:v>-665.60020239673725</c:v>
                </c:pt>
                <c:pt idx="22">
                  <c:v>-630.06274928202413</c:v>
                </c:pt>
                <c:pt idx="23">
                  <c:v>-594.52529616731078</c:v>
                </c:pt>
                <c:pt idx="24">
                  <c:v>-558.98784305259744</c:v>
                </c:pt>
                <c:pt idx="25">
                  <c:v>-523.45038993788421</c:v>
                </c:pt>
                <c:pt idx="26">
                  <c:v>-487.91293682317087</c:v>
                </c:pt>
                <c:pt idx="27">
                  <c:v>-452.37548370845769</c:v>
                </c:pt>
                <c:pt idx="28">
                  <c:v>-416.83803059374435</c:v>
                </c:pt>
                <c:pt idx="29">
                  <c:v>-381.30057747903106</c:v>
                </c:pt>
                <c:pt idx="30">
                  <c:v>-345.76312436431783</c:v>
                </c:pt>
                <c:pt idx="31">
                  <c:v>-310.22567124960455</c:v>
                </c:pt>
                <c:pt idx="32">
                  <c:v>-274.68821813489126</c:v>
                </c:pt>
                <c:pt idx="33">
                  <c:v>-239.15076502017794</c:v>
                </c:pt>
                <c:pt idx="34">
                  <c:v>-203.61331190546463</c:v>
                </c:pt>
                <c:pt idx="35">
                  <c:v>-168.07585879075131</c:v>
                </c:pt>
                <c:pt idx="36">
                  <c:v>-132.538405676038</c:v>
                </c:pt>
                <c:pt idx="37">
                  <c:v>-97.000952561324922</c:v>
                </c:pt>
                <c:pt idx="38">
                  <c:v>-61.463499446611621</c:v>
                </c:pt>
                <c:pt idx="39">
                  <c:v>-25.926046331898309</c:v>
                </c:pt>
                <c:pt idx="40">
                  <c:v>9.6114067828149992</c:v>
                </c:pt>
                <c:pt idx="41">
                  <c:v>45.148859897528311</c:v>
                </c:pt>
                <c:pt idx="42">
                  <c:v>80.686313012241612</c:v>
                </c:pt>
                <c:pt idx="43">
                  <c:v>116.22376612695493</c:v>
                </c:pt>
                <c:pt idx="44">
                  <c:v>151.76121924166802</c:v>
                </c:pt>
                <c:pt idx="45">
                  <c:v>187.2986723563813</c:v>
                </c:pt>
                <c:pt idx="46">
                  <c:v>222.83612547109462</c:v>
                </c:pt>
                <c:pt idx="47">
                  <c:v>258.37357858580793</c:v>
                </c:pt>
                <c:pt idx="48">
                  <c:v>293.91103170052122</c:v>
                </c:pt>
                <c:pt idx="49">
                  <c:v>329.44848481523456</c:v>
                </c:pt>
                <c:pt idx="50">
                  <c:v>364.98593792994785</c:v>
                </c:pt>
                <c:pt idx="51">
                  <c:v>400.5233910446612</c:v>
                </c:pt>
                <c:pt idx="52">
                  <c:v>436.06084415937448</c:v>
                </c:pt>
                <c:pt idx="53">
                  <c:v>471.59829727408754</c:v>
                </c:pt>
                <c:pt idx="54">
                  <c:v>507.13575038880089</c:v>
                </c:pt>
                <c:pt idx="55">
                  <c:v>542.67320350351417</c:v>
                </c:pt>
                <c:pt idx="56">
                  <c:v>578.21065661822752</c:v>
                </c:pt>
                <c:pt idx="57">
                  <c:v>613.74810973294075</c:v>
                </c:pt>
                <c:pt idx="58">
                  <c:v>649.28556284765409</c:v>
                </c:pt>
                <c:pt idx="59">
                  <c:v>684.82301596236744</c:v>
                </c:pt>
                <c:pt idx="60">
                  <c:v>720.36046907708044</c:v>
                </c:pt>
                <c:pt idx="61">
                  <c:v>755.89792219179401</c:v>
                </c:pt>
                <c:pt idx="62">
                  <c:v>791.43537530650713</c:v>
                </c:pt>
                <c:pt idx="63">
                  <c:v>826.9728284212207</c:v>
                </c:pt>
                <c:pt idx="64">
                  <c:v>862.5102815359337</c:v>
                </c:pt>
                <c:pt idx="65">
                  <c:v>898.04773465064682</c:v>
                </c:pt>
                <c:pt idx="66">
                  <c:v>933.58518776536039</c:v>
                </c:pt>
                <c:pt idx="67">
                  <c:v>969.12264088007339</c:v>
                </c:pt>
                <c:pt idx="68">
                  <c:v>1004.660093994787</c:v>
                </c:pt>
                <c:pt idx="69">
                  <c:v>1040.1975471095</c:v>
                </c:pt>
                <c:pt idx="70">
                  <c:v>1075.7350002242135</c:v>
                </c:pt>
                <c:pt idx="71">
                  <c:v>1111.2724533389267</c:v>
                </c:pt>
                <c:pt idx="72">
                  <c:v>1146.8099064536402</c:v>
                </c:pt>
                <c:pt idx="73">
                  <c:v>1182.3473595683533</c:v>
                </c:pt>
                <c:pt idx="74">
                  <c:v>1217.8848126830665</c:v>
                </c:pt>
                <c:pt idx="75">
                  <c:v>1253.4222657977798</c:v>
                </c:pt>
                <c:pt idx="76">
                  <c:v>1288.9597189124929</c:v>
                </c:pt>
                <c:pt idx="77">
                  <c:v>1324.4971720272065</c:v>
                </c:pt>
                <c:pt idx="78">
                  <c:v>1360.0346251419196</c:v>
                </c:pt>
                <c:pt idx="79">
                  <c:v>1395.5720782566332</c:v>
                </c:pt>
                <c:pt idx="80">
                  <c:v>1431.1095313713463</c:v>
                </c:pt>
                <c:pt idx="81">
                  <c:v>1466.6469844860592</c:v>
                </c:pt>
                <c:pt idx="82">
                  <c:v>1502.1844376007728</c:v>
                </c:pt>
                <c:pt idx="83">
                  <c:v>1537.7218907154859</c:v>
                </c:pt>
                <c:pt idx="84">
                  <c:v>1573.2593438301994</c:v>
                </c:pt>
                <c:pt idx="85">
                  <c:v>1608.7967969449126</c:v>
                </c:pt>
                <c:pt idx="86">
                  <c:v>1644.3342500596261</c:v>
                </c:pt>
                <c:pt idx="87">
                  <c:v>1679.8717031743392</c:v>
                </c:pt>
                <c:pt idx="88">
                  <c:v>1715.4091562890521</c:v>
                </c:pt>
                <c:pt idx="89">
                  <c:v>1750.9466094037657</c:v>
                </c:pt>
                <c:pt idx="90">
                  <c:v>1786.4840625184788</c:v>
                </c:pt>
                <c:pt idx="91">
                  <c:v>1822.0215156331924</c:v>
                </c:pt>
                <c:pt idx="92">
                  <c:v>1857.5589687479055</c:v>
                </c:pt>
                <c:pt idx="93">
                  <c:v>1893.0964218626191</c:v>
                </c:pt>
                <c:pt idx="94">
                  <c:v>1928.633874977332</c:v>
                </c:pt>
                <c:pt idx="95">
                  <c:v>1964.1713280920455</c:v>
                </c:pt>
                <c:pt idx="96">
                  <c:v>1999.7087812067587</c:v>
                </c:pt>
                <c:pt idx="97">
                  <c:v>2035.2462343214718</c:v>
                </c:pt>
                <c:pt idx="98">
                  <c:v>2070.7836874361851</c:v>
                </c:pt>
                <c:pt idx="99">
                  <c:v>2106.3211405508987</c:v>
                </c:pt>
              </c:numCache>
            </c:numRef>
          </c:xVal>
          <c:yVal>
            <c:numRef>
              <c:f>Gap30deg!$O$67:$DJ$67</c:f>
              <c:numCache>
                <c:formatCode>General</c:formatCode>
                <c:ptCount val="100"/>
                <c:pt idx="0">
                  <c:v>2829.8761188739527</c:v>
                </c:pt>
                <c:pt idx="1">
                  <c:v>2829.8761188739527</c:v>
                </c:pt>
                <c:pt idx="2">
                  <c:v>2829.8765753289222</c:v>
                </c:pt>
                <c:pt idx="3">
                  <c:v>2829.9240679981099</c:v>
                </c:pt>
                <c:pt idx="4">
                  <c:v>2830.0496585720675</c:v>
                </c:pt>
                <c:pt idx="5">
                  <c:v>2830.2533470507947</c:v>
                </c:pt>
                <c:pt idx="6">
                  <c:v>2830.5351334342918</c:v>
                </c:pt>
                <c:pt idx="7">
                  <c:v>2830.8950177225588</c:v>
                </c:pt>
                <c:pt idx="8">
                  <c:v>2831.3329999155953</c:v>
                </c:pt>
                <c:pt idx="9">
                  <c:v>2831.8490800134014</c:v>
                </c:pt>
                <c:pt idx="10">
                  <c:v>2832.4432580159778</c:v>
                </c:pt>
                <c:pt idx="11">
                  <c:v>2833.1155339233237</c:v>
                </c:pt>
                <c:pt idx="12">
                  <c:v>2833.8659077354396</c:v>
                </c:pt>
                <c:pt idx="13">
                  <c:v>2834.6943794523249</c:v>
                </c:pt>
                <c:pt idx="14">
                  <c:v>2835.6009490739802</c:v>
                </c:pt>
                <c:pt idx="15">
                  <c:v>2836.585616600405</c:v>
                </c:pt>
                <c:pt idx="16">
                  <c:v>2837.6483820315998</c:v>
                </c:pt>
                <c:pt idx="17">
                  <c:v>2838.7892453675649</c:v>
                </c:pt>
                <c:pt idx="18">
                  <c:v>2840.0082066082991</c:v>
                </c:pt>
                <c:pt idx="19">
                  <c:v>2841.3052657538033</c:v>
                </c:pt>
                <c:pt idx="20">
                  <c:v>2842.6804228040774</c:v>
                </c:pt>
                <c:pt idx="21">
                  <c:v>2844.1336777591209</c:v>
                </c:pt>
                <c:pt idx="22">
                  <c:v>2845.6650306189345</c:v>
                </c:pt>
                <c:pt idx="23">
                  <c:v>2847.2744813835179</c:v>
                </c:pt>
                <c:pt idx="24">
                  <c:v>2848.9620300528704</c:v>
                </c:pt>
                <c:pt idx="25">
                  <c:v>2850.7276766269933</c:v>
                </c:pt>
                <c:pt idx="26">
                  <c:v>2852.5714211058862</c:v>
                </c:pt>
                <c:pt idx="27">
                  <c:v>2854.4932634895486</c:v>
                </c:pt>
                <c:pt idx="28">
                  <c:v>2856.4932037779809</c:v>
                </c:pt>
                <c:pt idx="29">
                  <c:v>2858.5712419711826</c:v>
                </c:pt>
                <c:pt idx="30">
                  <c:v>2860.7273780691544</c:v>
                </c:pt>
                <c:pt idx="31">
                  <c:v>2862.9616120718961</c:v>
                </c:pt>
                <c:pt idx="32">
                  <c:v>2865.2739439794077</c:v>
                </c:pt>
                <c:pt idx="33">
                  <c:v>2867.6643737916884</c:v>
                </c:pt>
                <c:pt idx="34">
                  <c:v>2870.132901508739</c:v>
                </c:pt>
                <c:pt idx="35">
                  <c:v>2872.67952713056</c:v>
                </c:pt>
                <c:pt idx="36">
                  <c:v>2875.3042506571505</c:v>
                </c:pt>
                <c:pt idx="37">
                  <c:v>2878.0707939814297</c:v>
                </c:pt>
                <c:pt idx="38">
                  <c:v>2881.1404082617078</c:v>
                </c:pt>
                <c:pt idx="39">
                  <c:v>2884.5209759457775</c:v>
                </c:pt>
                <c:pt idx="40">
                  <c:v>2888.212497033639</c:v>
                </c:pt>
                <c:pt idx="41">
                  <c:v>2892.2149715252917</c:v>
                </c:pt>
                <c:pt idx="42">
                  <c:v>2896.5283994207357</c:v>
                </c:pt>
                <c:pt idx="43">
                  <c:v>2901.1527807199718</c:v>
                </c:pt>
                <c:pt idx="44">
                  <c:v>2906.0881154229987</c:v>
                </c:pt>
                <c:pt idx="45">
                  <c:v>2911.3344035298173</c:v>
                </c:pt>
                <c:pt idx="46">
                  <c:v>2916.8916450404272</c:v>
                </c:pt>
                <c:pt idx="47">
                  <c:v>2922.7598399548287</c:v>
                </c:pt>
                <c:pt idx="48">
                  <c:v>2928.9389882730216</c:v>
                </c:pt>
                <c:pt idx="49">
                  <c:v>2935.4290899950061</c:v>
                </c:pt>
                <c:pt idx="50">
                  <c:v>2942.2301451207818</c:v>
                </c:pt>
                <c:pt idx="51">
                  <c:v>2949.3421536503488</c:v>
                </c:pt>
                <c:pt idx="52">
                  <c:v>2956.7651155837075</c:v>
                </c:pt>
                <c:pt idx="53">
                  <c:v>2964.4990309208574</c:v>
                </c:pt>
                <c:pt idx="54">
                  <c:v>2972.5438996617995</c:v>
                </c:pt>
                <c:pt idx="55">
                  <c:v>2980.8997218065324</c:v>
                </c:pt>
                <c:pt idx="56">
                  <c:v>2989.566497355057</c:v>
                </c:pt>
                <c:pt idx="57">
                  <c:v>2998.5442263073724</c:v>
                </c:pt>
                <c:pt idx="58">
                  <c:v>3007.8329086634799</c:v>
                </c:pt>
                <c:pt idx="59">
                  <c:v>3017.4325444233791</c:v>
                </c:pt>
                <c:pt idx="60">
                  <c:v>3027.3431335870691</c:v>
                </c:pt>
                <c:pt idx="61">
                  <c:v>3037.5646761545513</c:v>
                </c:pt>
                <c:pt idx="62">
                  <c:v>3048.0971721258243</c:v>
                </c:pt>
                <c:pt idx="63">
                  <c:v>3058.9406215008889</c:v>
                </c:pt>
                <c:pt idx="64">
                  <c:v>3070.0950242797448</c:v>
                </c:pt>
                <c:pt idx="65">
                  <c:v>3081.5603804623925</c:v>
                </c:pt>
                <c:pt idx="66">
                  <c:v>3093.3366900488309</c:v>
                </c:pt>
                <c:pt idx="67">
                  <c:v>3105.4239530390619</c:v>
                </c:pt>
                <c:pt idx="68">
                  <c:v>3117.8221694330832</c:v>
                </c:pt>
                <c:pt idx="69">
                  <c:v>3130.5313392308967</c:v>
                </c:pt>
                <c:pt idx="70">
                  <c:v>3143.5514624325019</c:v>
                </c:pt>
                <c:pt idx="71">
                  <c:v>3156.8825390378979</c:v>
                </c:pt>
                <c:pt idx="72">
                  <c:v>3170.5245690470856</c:v>
                </c:pt>
                <c:pt idx="73">
                  <c:v>3184.4775524600645</c:v>
                </c:pt>
                <c:pt idx="74">
                  <c:v>3198.7414892768347</c:v>
                </c:pt>
                <c:pt idx="75">
                  <c:v>3213.3163794973971</c:v>
                </c:pt>
                <c:pt idx="76">
                  <c:v>3228.2022231217506</c:v>
                </c:pt>
                <c:pt idx="77">
                  <c:v>3243.3990201498955</c:v>
                </c:pt>
                <c:pt idx="78">
                  <c:v>3258.9067705818316</c:v>
                </c:pt>
                <c:pt idx="79">
                  <c:v>3274.7254744175598</c:v>
                </c:pt>
                <c:pt idx="80">
                  <c:v>3290.8551316570788</c:v>
                </c:pt>
                <c:pt idx="81">
                  <c:v>3307.2957423003895</c:v>
                </c:pt>
                <c:pt idx="82">
                  <c:v>3324.0473063474915</c:v>
                </c:pt>
                <c:pt idx="83">
                  <c:v>3341.1098237983852</c:v>
                </c:pt>
                <c:pt idx="84">
                  <c:v>3358.4832946530701</c:v>
                </c:pt>
                <c:pt idx="85">
                  <c:v>3376.1677189115467</c:v>
                </c:pt>
                <c:pt idx="86">
                  <c:v>3394.1630965738145</c:v>
                </c:pt>
                <c:pt idx="87">
                  <c:v>3412.4694276398741</c:v>
                </c:pt>
                <c:pt idx="88">
                  <c:v>3431.0867121097249</c:v>
                </c:pt>
                <c:pt idx="89">
                  <c:v>3450.0149499833674</c:v>
                </c:pt>
                <c:pt idx="90">
                  <c:v>3469.2541412608007</c:v>
                </c:pt>
                <c:pt idx="91">
                  <c:v>3488.8042859420261</c:v>
                </c:pt>
                <c:pt idx="92">
                  <c:v>3508.6653840270424</c:v>
                </c:pt>
                <c:pt idx="93">
                  <c:v>3528.8374355158508</c:v>
                </c:pt>
                <c:pt idx="94">
                  <c:v>3549.3204404084504</c:v>
                </c:pt>
                <c:pt idx="95">
                  <c:v>3570.1143987048413</c:v>
                </c:pt>
                <c:pt idx="96">
                  <c:v>3591.2193104050239</c:v>
                </c:pt>
                <c:pt idx="97">
                  <c:v>3612.6351755089972</c:v>
                </c:pt>
                <c:pt idx="98">
                  <c:v>3634.3619940167628</c:v>
                </c:pt>
                <c:pt idx="99">
                  <c:v>3656.3997659283195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D6A-4383-810A-24FC591F34C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59877744"/>
        <c:axId val="1213121792"/>
      </c:scatterChart>
      <c:valAx>
        <c:axId val="17598777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Shell Pull Force [kN]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213121792"/>
        <c:crosses val="autoZero"/>
        <c:crossBetween val="midCat"/>
      </c:valAx>
      <c:valAx>
        <c:axId val="1213121792"/>
        <c:scaling>
          <c:orientation val="minMax"/>
          <c:min val="25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Bolt Axial Force</a:t>
                </a:r>
                <a:r>
                  <a:rPr lang="en-US" sz="1200" baseline="0"/>
                  <a:t> [kN]</a:t>
                </a:r>
                <a:endParaRPr lang="en-US" sz="12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7598777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NL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Gap60deg!$O$66:$DJ$66</c:f>
              <c:numCache>
                <c:formatCode>General</c:formatCode>
                <c:ptCount val="100"/>
                <c:pt idx="0">
                  <c:v>-972.27745279555916</c:v>
                </c:pt>
                <c:pt idx="1">
                  <c:v>-944.44216496292142</c:v>
                </c:pt>
                <c:pt idx="2">
                  <c:v>-916.60687713028369</c:v>
                </c:pt>
                <c:pt idx="3">
                  <c:v>-888.77158929764596</c:v>
                </c:pt>
                <c:pt idx="4">
                  <c:v>-860.93630146500823</c:v>
                </c:pt>
                <c:pt idx="5">
                  <c:v>-833.10101363237038</c:v>
                </c:pt>
                <c:pt idx="6">
                  <c:v>-805.26572579973276</c:v>
                </c:pt>
                <c:pt idx="7">
                  <c:v>-777.43043796709492</c:v>
                </c:pt>
                <c:pt idx="8">
                  <c:v>-749.59515013445719</c:v>
                </c:pt>
                <c:pt idx="9">
                  <c:v>-721.75986230181945</c:v>
                </c:pt>
                <c:pt idx="10">
                  <c:v>-693.92457446918172</c:v>
                </c:pt>
                <c:pt idx="11">
                  <c:v>-666.08928663654387</c:v>
                </c:pt>
                <c:pt idx="12">
                  <c:v>-638.25399880390614</c:v>
                </c:pt>
                <c:pt idx="13">
                  <c:v>-610.41871097126841</c:v>
                </c:pt>
                <c:pt idx="14">
                  <c:v>-582.58342313863068</c:v>
                </c:pt>
                <c:pt idx="15">
                  <c:v>-554.74813530599295</c:v>
                </c:pt>
                <c:pt idx="16">
                  <c:v>-526.91284747335521</c:v>
                </c:pt>
                <c:pt idx="17">
                  <c:v>-499.07755964071748</c:v>
                </c:pt>
                <c:pt idx="18">
                  <c:v>-471.24227180807969</c:v>
                </c:pt>
                <c:pt idx="19">
                  <c:v>-443.4069839754419</c:v>
                </c:pt>
                <c:pt idx="20">
                  <c:v>-415.57169614280423</c:v>
                </c:pt>
                <c:pt idx="21">
                  <c:v>-387.73640831016644</c:v>
                </c:pt>
                <c:pt idx="22">
                  <c:v>-359.90112047752865</c:v>
                </c:pt>
                <c:pt idx="23">
                  <c:v>-332.06583264489086</c:v>
                </c:pt>
                <c:pt idx="24">
                  <c:v>-304.23054481225319</c:v>
                </c:pt>
                <c:pt idx="25">
                  <c:v>-276.39525697961545</c:v>
                </c:pt>
                <c:pt idx="26">
                  <c:v>-248.55996914697764</c:v>
                </c:pt>
                <c:pt idx="27">
                  <c:v>-220.72468131433999</c:v>
                </c:pt>
                <c:pt idx="28">
                  <c:v>-192.8893934817022</c:v>
                </c:pt>
                <c:pt idx="29">
                  <c:v>-165.05410564906441</c:v>
                </c:pt>
                <c:pt idx="30">
                  <c:v>-137.21881781642662</c:v>
                </c:pt>
                <c:pt idx="31">
                  <c:v>-109.38352998378896</c:v>
                </c:pt>
                <c:pt idx="32">
                  <c:v>-81.548242151151172</c:v>
                </c:pt>
                <c:pt idx="33">
                  <c:v>-53.712954318513397</c:v>
                </c:pt>
                <c:pt idx="34">
                  <c:v>-25.877666485875729</c:v>
                </c:pt>
                <c:pt idx="35">
                  <c:v>1.9576213467620547</c:v>
                </c:pt>
                <c:pt idx="36">
                  <c:v>29.792909179399839</c:v>
                </c:pt>
                <c:pt idx="37">
                  <c:v>57.628197012037624</c:v>
                </c:pt>
                <c:pt idx="38">
                  <c:v>85.463484844675406</c:v>
                </c:pt>
                <c:pt idx="39">
                  <c:v>113.29877267731318</c:v>
                </c:pt>
                <c:pt idx="40">
                  <c:v>141.13406050995073</c:v>
                </c:pt>
                <c:pt idx="41">
                  <c:v>168.96934834258852</c:v>
                </c:pt>
                <c:pt idx="42">
                  <c:v>196.80463617522631</c:v>
                </c:pt>
                <c:pt idx="43">
                  <c:v>224.6399240078641</c:v>
                </c:pt>
                <c:pt idx="44">
                  <c:v>252.47521184050186</c:v>
                </c:pt>
                <c:pt idx="45">
                  <c:v>280.31049967313965</c:v>
                </c:pt>
                <c:pt idx="46">
                  <c:v>308.14578750577743</c:v>
                </c:pt>
                <c:pt idx="47">
                  <c:v>335.981075338415</c:v>
                </c:pt>
                <c:pt idx="48">
                  <c:v>363.81636317105279</c:v>
                </c:pt>
                <c:pt idx="49">
                  <c:v>391.65165100369057</c:v>
                </c:pt>
                <c:pt idx="50">
                  <c:v>419.48693883632836</c:v>
                </c:pt>
                <c:pt idx="51">
                  <c:v>447.3222266689661</c:v>
                </c:pt>
                <c:pt idx="52">
                  <c:v>475.15751450160388</c:v>
                </c:pt>
                <c:pt idx="53">
                  <c:v>502.99280233424167</c:v>
                </c:pt>
                <c:pt idx="54">
                  <c:v>530.82809016687929</c:v>
                </c:pt>
                <c:pt idx="55">
                  <c:v>558.66337799951702</c:v>
                </c:pt>
                <c:pt idx="56">
                  <c:v>586.49866583215476</c:v>
                </c:pt>
                <c:pt idx="57">
                  <c:v>614.3339536647926</c:v>
                </c:pt>
                <c:pt idx="58">
                  <c:v>642.16924149743033</c:v>
                </c:pt>
                <c:pt idx="59">
                  <c:v>670.00452933006818</c:v>
                </c:pt>
                <c:pt idx="60">
                  <c:v>697.83981716270591</c:v>
                </c:pt>
                <c:pt idx="61">
                  <c:v>725.67510499534353</c:v>
                </c:pt>
                <c:pt idx="62">
                  <c:v>753.51039282798126</c:v>
                </c:pt>
                <c:pt idx="63">
                  <c:v>781.345680660619</c:v>
                </c:pt>
                <c:pt idx="64">
                  <c:v>809.18096849325684</c:v>
                </c:pt>
                <c:pt idx="65">
                  <c:v>837.01625632589457</c:v>
                </c:pt>
                <c:pt idx="66">
                  <c:v>864.85154415853242</c:v>
                </c:pt>
                <c:pt idx="67">
                  <c:v>892.68683199117015</c:v>
                </c:pt>
                <c:pt idx="68">
                  <c:v>920.52211982380777</c:v>
                </c:pt>
                <c:pt idx="69">
                  <c:v>948.3574076564455</c:v>
                </c:pt>
                <c:pt idx="70">
                  <c:v>976.19269548908335</c:v>
                </c:pt>
                <c:pt idx="71">
                  <c:v>1004.0279833217211</c:v>
                </c:pt>
                <c:pt idx="72">
                  <c:v>1031.8632711543589</c:v>
                </c:pt>
                <c:pt idx="73">
                  <c:v>1059.6985589869967</c:v>
                </c:pt>
                <c:pt idx="74">
                  <c:v>1087.5338468196346</c:v>
                </c:pt>
                <c:pt idx="75">
                  <c:v>1115.3691346522719</c:v>
                </c:pt>
                <c:pt idx="76">
                  <c:v>1143.2044224849101</c:v>
                </c:pt>
                <c:pt idx="77">
                  <c:v>1171.0397103175478</c:v>
                </c:pt>
                <c:pt idx="78">
                  <c:v>1198.8749981501858</c:v>
                </c:pt>
                <c:pt idx="79">
                  <c:v>1226.7102859828231</c:v>
                </c:pt>
                <c:pt idx="80">
                  <c:v>1254.5455738154608</c:v>
                </c:pt>
                <c:pt idx="81">
                  <c:v>1282.3808616480985</c:v>
                </c:pt>
                <c:pt idx="82">
                  <c:v>1310.2161494807362</c:v>
                </c:pt>
                <c:pt idx="83">
                  <c:v>1338.0514373133742</c:v>
                </c:pt>
                <c:pt idx="84">
                  <c:v>1365.8867251460119</c:v>
                </c:pt>
                <c:pt idx="85">
                  <c:v>1393.7220129786497</c:v>
                </c:pt>
                <c:pt idx="86">
                  <c:v>1421.5573008112874</c:v>
                </c:pt>
                <c:pt idx="87">
                  <c:v>1449.3925886439254</c:v>
                </c:pt>
                <c:pt idx="88">
                  <c:v>1477.2278764765631</c:v>
                </c:pt>
                <c:pt idx="89">
                  <c:v>1505.0631643092008</c:v>
                </c:pt>
                <c:pt idx="90">
                  <c:v>1532.8984521418386</c:v>
                </c:pt>
                <c:pt idx="91">
                  <c:v>1560.7337399744763</c:v>
                </c:pt>
                <c:pt idx="92">
                  <c:v>1588.5690278071143</c:v>
                </c:pt>
                <c:pt idx="93">
                  <c:v>1616.4043156397515</c:v>
                </c:pt>
                <c:pt idx="94">
                  <c:v>1644.2396034723893</c:v>
                </c:pt>
                <c:pt idx="95">
                  <c:v>1672.074891305027</c:v>
                </c:pt>
                <c:pt idx="96">
                  <c:v>1699.910179137665</c:v>
                </c:pt>
                <c:pt idx="97">
                  <c:v>1727.7454669703027</c:v>
                </c:pt>
                <c:pt idx="98">
                  <c:v>1755.5807548029404</c:v>
                </c:pt>
                <c:pt idx="99">
                  <c:v>1783.4160426355779</c:v>
                </c:pt>
              </c:numCache>
            </c:numRef>
          </c:xVal>
          <c:yVal>
            <c:numRef>
              <c:f>Gap60deg!$O$68:$DJ$68</c:f>
              <c:numCache>
                <c:formatCode>General</c:formatCode>
                <c:ptCount val="100"/>
                <c:pt idx="0">
                  <c:v>-141.28395786745503</c:v>
                </c:pt>
                <c:pt idx="1">
                  <c:v>-141.28395786745503</c:v>
                </c:pt>
                <c:pt idx="2">
                  <c:v>-141.26816517140099</c:v>
                </c:pt>
                <c:pt idx="3">
                  <c:v>-141.03503083693357</c:v>
                </c:pt>
                <c:pt idx="4">
                  <c:v>-140.52325510138618</c:v>
                </c:pt>
                <c:pt idx="5">
                  <c:v>-139.73283796475877</c:v>
                </c:pt>
                <c:pt idx="6">
                  <c:v>-138.66377942705142</c:v>
                </c:pt>
                <c:pt idx="7">
                  <c:v>-137.31607948826402</c:v>
                </c:pt>
                <c:pt idx="8">
                  <c:v>-135.68973814839666</c:v>
                </c:pt>
                <c:pt idx="9">
                  <c:v>-133.78475540744932</c:v>
                </c:pt>
                <c:pt idx="10">
                  <c:v>-131.60113126542197</c:v>
                </c:pt>
                <c:pt idx="11">
                  <c:v>-129.13886572231465</c:v>
                </c:pt>
                <c:pt idx="12">
                  <c:v>-126.39795877812732</c:v>
                </c:pt>
                <c:pt idx="13">
                  <c:v>-123.37841043286001</c:v>
                </c:pt>
                <c:pt idx="14">
                  <c:v>-120.0802206865127</c:v>
                </c:pt>
                <c:pt idx="15">
                  <c:v>-116.5033895390854</c:v>
                </c:pt>
                <c:pt idx="16">
                  <c:v>-112.64791699057814</c:v>
                </c:pt>
                <c:pt idx="17">
                  <c:v>-108.51380304099085</c:v>
                </c:pt>
                <c:pt idx="18">
                  <c:v>-104.10104769032357</c:v>
                </c:pt>
                <c:pt idx="19">
                  <c:v>-99.409650938576306</c:v>
                </c:pt>
                <c:pt idx="20">
                  <c:v>-94.439612785749077</c:v>
                </c:pt>
                <c:pt idx="21">
                  <c:v>-89.190933231841839</c:v>
                </c:pt>
                <c:pt idx="22">
                  <c:v>-83.663612276854622</c:v>
                </c:pt>
                <c:pt idx="23">
                  <c:v>-77.857649920787381</c:v>
                </c:pt>
                <c:pt idx="24">
                  <c:v>-71.773046163640203</c:v>
                </c:pt>
                <c:pt idx="25">
                  <c:v>-65.409801005412987</c:v>
                </c:pt>
                <c:pt idx="26">
                  <c:v>-58.767914446105785</c:v>
                </c:pt>
                <c:pt idx="27">
                  <c:v>-51.847386485718623</c:v>
                </c:pt>
                <c:pt idx="28">
                  <c:v>-44.648217124251445</c:v>
                </c:pt>
                <c:pt idx="29">
                  <c:v>-37.170406361704273</c:v>
                </c:pt>
                <c:pt idx="30">
                  <c:v>-29.413954198077114</c:v>
                </c:pt>
                <c:pt idx="31">
                  <c:v>-21.291870020232267</c:v>
                </c:pt>
                <c:pt idx="32">
                  <c:v>-12.281496413032507</c:v>
                </c:pt>
                <c:pt idx="33">
                  <c:v>-2.2956047428409718</c:v>
                </c:pt>
                <c:pt idx="34">
                  <c:v>8.6658049903422896</c:v>
                </c:pt>
                <c:pt idx="35">
                  <c:v>20.602732786517375</c:v>
                </c:pt>
                <c:pt idx="36">
                  <c:v>33.515178645684244</c:v>
                </c:pt>
                <c:pt idx="37">
                  <c:v>47.403142567842877</c:v>
                </c:pt>
                <c:pt idx="38">
                  <c:v>62.266624552993299</c:v>
                </c:pt>
                <c:pt idx="39">
                  <c:v>78.105624601135489</c:v>
                </c:pt>
                <c:pt idx="40">
                  <c:v>94.920142712269325</c:v>
                </c:pt>
                <c:pt idx="41">
                  <c:v>112.71017888639506</c:v>
                </c:pt>
                <c:pt idx="42">
                  <c:v>131.47573312351258</c:v>
                </c:pt>
                <c:pt idx="43">
                  <c:v>151.21680542362188</c:v>
                </c:pt>
                <c:pt idx="44">
                  <c:v>171.93339578672294</c:v>
                </c:pt>
                <c:pt idx="45">
                  <c:v>193.62550421281583</c:v>
                </c:pt>
                <c:pt idx="46">
                  <c:v>216.29313070190045</c:v>
                </c:pt>
                <c:pt idx="47">
                  <c:v>239.93627525397665</c:v>
                </c:pt>
                <c:pt idx="48">
                  <c:v>264.55493786904481</c:v>
                </c:pt>
                <c:pt idx="49">
                  <c:v>290.14911854710476</c:v>
                </c:pt>
                <c:pt idx="50">
                  <c:v>316.71881728815652</c:v>
                </c:pt>
                <c:pt idx="51">
                  <c:v>344.26403409220001</c:v>
                </c:pt>
                <c:pt idx="52">
                  <c:v>372.78476895923535</c:v>
                </c:pt>
                <c:pt idx="53">
                  <c:v>402.28102188926238</c:v>
                </c:pt>
                <c:pt idx="54">
                  <c:v>432.75279288228097</c:v>
                </c:pt>
                <c:pt idx="55">
                  <c:v>464.20008193829159</c:v>
                </c:pt>
                <c:pt idx="56">
                  <c:v>496.62288905729395</c:v>
                </c:pt>
                <c:pt idx="57">
                  <c:v>530.02121423928816</c:v>
                </c:pt>
                <c:pt idx="58">
                  <c:v>564.39505748427405</c:v>
                </c:pt>
                <c:pt idx="59">
                  <c:v>599.74441879225174</c:v>
                </c:pt>
                <c:pt idx="60">
                  <c:v>636.06929816322133</c:v>
                </c:pt>
                <c:pt idx="61">
                  <c:v>673.36969559718227</c:v>
                </c:pt>
                <c:pt idx="62">
                  <c:v>711.64561109413535</c:v>
                </c:pt>
                <c:pt idx="63">
                  <c:v>750.89704465408022</c:v>
                </c:pt>
                <c:pt idx="64">
                  <c:v>791.12399627701677</c:v>
                </c:pt>
                <c:pt idx="65">
                  <c:v>832.32646596294501</c:v>
                </c:pt>
                <c:pt idx="66">
                  <c:v>874.50445371186538</c:v>
                </c:pt>
                <c:pt idx="67">
                  <c:v>917.65795952377721</c:v>
                </c:pt>
                <c:pt idx="68">
                  <c:v>961.7869833986806</c:v>
                </c:pt>
                <c:pt idx="69">
                  <c:v>1006.891525336576</c:v>
                </c:pt>
                <c:pt idx="70">
                  <c:v>1052.9715853374635</c:v>
                </c:pt>
                <c:pt idx="71">
                  <c:v>1100.0271634013422</c:v>
                </c:pt>
                <c:pt idx="72">
                  <c:v>1148.0582595282133</c:v>
                </c:pt>
                <c:pt idx="73">
                  <c:v>1197.0648737180759</c:v>
                </c:pt>
                <c:pt idx="74">
                  <c:v>1247.0470059709305</c:v>
                </c:pt>
                <c:pt idx="75">
                  <c:v>1298.0046562867758</c:v>
                </c:pt>
                <c:pt idx="76">
                  <c:v>1349.9378246656145</c:v>
                </c:pt>
                <c:pt idx="77">
                  <c:v>1402.8465111074443</c:v>
                </c:pt>
                <c:pt idx="78">
                  <c:v>1456.7307156122658</c:v>
                </c:pt>
                <c:pt idx="79">
                  <c:v>1511.5904381800781</c:v>
                </c:pt>
                <c:pt idx="80">
                  <c:v>1567.425678810883</c:v>
                </c:pt>
                <c:pt idx="81">
                  <c:v>1624.2364375046798</c:v>
                </c:pt>
                <c:pt idx="82">
                  <c:v>1682.0227142614685</c:v>
                </c:pt>
                <c:pt idx="83">
                  <c:v>1740.7845090812489</c:v>
                </c:pt>
                <c:pt idx="84">
                  <c:v>1800.5218219640208</c:v>
                </c:pt>
                <c:pt idx="85">
                  <c:v>1861.2346529097849</c:v>
                </c:pt>
                <c:pt idx="86">
                  <c:v>1922.9230019185406</c:v>
                </c:pt>
                <c:pt idx="87">
                  <c:v>1985.5868689902879</c:v>
                </c:pt>
                <c:pt idx="88">
                  <c:v>2049.2262541250275</c:v>
                </c:pt>
                <c:pt idx="89">
                  <c:v>2113.8411573227581</c:v>
                </c:pt>
                <c:pt idx="90">
                  <c:v>2179.431578583481</c:v>
                </c:pt>
                <c:pt idx="91">
                  <c:v>2245.9975179071953</c:v>
                </c:pt>
                <c:pt idx="92">
                  <c:v>2313.5389752939022</c:v>
                </c:pt>
                <c:pt idx="93">
                  <c:v>2382.0559507435987</c:v>
                </c:pt>
                <c:pt idx="94">
                  <c:v>2451.5484442562888</c:v>
                </c:pt>
                <c:pt idx="95">
                  <c:v>2522.0164558319702</c:v>
                </c:pt>
                <c:pt idx="96">
                  <c:v>2593.4599854706439</c:v>
                </c:pt>
                <c:pt idx="97">
                  <c:v>2665.8790331723094</c:v>
                </c:pt>
                <c:pt idx="98">
                  <c:v>2739.2735989369662</c:v>
                </c:pt>
                <c:pt idx="99">
                  <c:v>2813.6436827646144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A26-4086-A562-0B70D5CB25B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59877744"/>
        <c:axId val="1213121792"/>
      </c:scatterChart>
      <c:valAx>
        <c:axId val="17598777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Shell Pull Force [kN]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213121792"/>
        <c:crosses val="autoZero"/>
        <c:crossBetween val="midCat"/>
      </c:valAx>
      <c:valAx>
        <c:axId val="12131217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Bolt Bending Moment </a:t>
                </a:r>
                <a:r>
                  <a:rPr lang="en-US" sz="1200" baseline="0"/>
                  <a:t>[N·m]</a:t>
                </a:r>
                <a:endParaRPr lang="en-US" sz="12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7598777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NL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Gap60deg!$O$66:$DJ$66</c:f>
              <c:numCache>
                <c:formatCode>General</c:formatCode>
                <c:ptCount val="100"/>
                <c:pt idx="0">
                  <c:v>-972.27745279555916</c:v>
                </c:pt>
                <c:pt idx="1">
                  <c:v>-944.44216496292142</c:v>
                </c:pt>
                <c:pt idx="2">
                  <c:v>-916.60687713028369</c:v>
                </c:pt>
                <c:pt idx="3">
                  <c:v>-888.77158929764596</c:v>
                </c:pt>
                <c:pt idx="4">
                  <c:v>-860.93630146500823</c:v>
                </c:pt>
                <c:pt idx="5">
                  <c:v>-833.10101363237038</c:v>
                </c:pt>
                <c:pt idx="6">
                  <c:v>-805.26572579973276</c:v>
                </c:pt>
                <c:pt idx="7">
                  <c:v>-777.43043796709492</c:v>
                </c:pt>
                <c:pt idx="8">
                  <c:v>-749.59515013445719</c:v>
                </c:pt>
                <c:pt idx="9">
                  <c:v>-721.75986230181945</c:v>
                </c:pt>
                <c:pt idx="10">
                  <c:v>-693.92457446918172</c:v>
                </c:pt>
                <c:pt idx="11">
                  <c:v>-666.08928663654387</c:v>
                </c:pt>
                <c:pt idx="12">
                  <c:v>-638.25399880390614</c:v>
                </c:pt>
                <c:pt idx="13">
                  <c:v>-610.41871097126841</c:v>
                </c:pt>
                <c:pt idx="14">
                  <c:v>-582.58342313863068</c:v>
                </c:pt>
                <c:pt idx="15">
                  <c:v>-554.74813530599295</c:v>
                </c:pt>
                <c:pt idx="16">
                  <c:v>-526.91284747335521</c:v>
                </c:pt>
                <c:pt idx="17">
                  <c:v>-499.07755964071748</c:v>
                </c:pt>
                <c:pt idx="18">
                  <c:v>-471.24227180807969</c:v>
                </c:pt>
                <c:pt idx="19">
                  <c:v>-443.4069839754419</c:v>
                </c:pt>
                <c:pt idx="20">
                  <c:v>-415.57169614280423</c:v>
                </c:pt>
                <c:pt idx="21">
                  <c:v>-387.73640831016644</c:v>
                </c:pt>
                <c:pt idx="22">
                  <c:v>-359.90112047752865</c:v>
                </c:pt>
                <c:pt idx="23">
                  <c:v>-332.06583264489086</c:v>
                </c:pt>
                <c:pt idx="24">
                  <c:v>-304.23054481225319</c:v>
                </c:pt>
                <c:pt idx="25">
                  <c:v>-276.39525697961545</c:v>
                </c:pt>
                <c:pt idx="26">
                  <c:v>-248.55996914697764</c:v>
                </c:pt>
                <c:pt idx="27">
                  <c:v>-220.72468131433999</c:v>
                </c:pt>
                <c:pt idx="28">
                  <c:v>-192.8893934817022</c:v>
                </c:pt>
                <c:pt idx="29">
                  <c:v>-165.05410564906441</c:v>
                </c:pt>
                <c:pt idx="30">
                  <c:v>-137.21881781642662</c:v>
                </c:pt>
                <c:pt idx="31">
                  <c:v>-109.38352998378896</c:v>
                </c:pt>
                <c:pt idx="32">
                  <c:v>-81.548242151151172</c:v>
                </c:pt>
                <c:pt idx="33">
                  <c:v>-53.712954318513397</c:v>
                </c:pt>
                <c:pt idx="34">
                  <c:v>-25.877666485875729</c:v>
                </c:pt>
                <c:pt idx="35">
                  <c:v>1.9576213467620547</c:v>
                </c:pt>
                <c:pt idx="36">
                  <c:v>29.792909179399839</c:v>
                </c:pt>
                <c:pt idx="37">
                  <c:v>57.628197012037624</c:v>
                </c:pt>
                <c:pt idx="38">
                  <c:v>85.463484844675406</c:v>
                </c:pt>
                <c:pt idx="39">
                  <c:v>113.29877267731318</c:v>
                </c:pt>
                <c:pt idx="40">
                  <c:v>141.13406050995073</c:v>
                </c:pt>
                <c:pt idx="41">
                  <c:v>168.96934834258852</c:v>
                </c:pt>
                <c:pt idx="42">
                  <c:v>196.80463617522631</c:v>
                </c:pt>
                <c:pt idx="43">
                  <c:v>224.6399240078641</c:v>
                </c:pt>
                <c:pt idx="44">
                  <c:v>252.47521184050186</c:v>
                </c:pt>
                <c:pt idx="45">
                  <c:v>280.31049967313965</c:v>
                </c:pt>
                <c:pt idx="46">
                  <c:v>308.14578750577743</c:v>
                </c:pt>
                <c:pt idx="47">
                  <c:v>335.981075338415</c:v>
                </c:pt>
                <c:pt idx="48">
                  <c:v>363.81636317105279</c:v>
                </c:pt>
                <c:pt idx="49">
                  <c:v>391.65165100369057</c:v>
                </c:pt>
                <c:pt idx="50">
                  <c:v>419.48693883632836</c:v>
                </c:pt>
                <c:pt idx="51">
                  <c:v>447.3222266689661</c:v>
                </c:pt>
                <c:pt idx="52">
                  <c:v>475.15751450160388</c:v>
                </c:pt>
                <c:pt idx="53">
                  <c:v>502.99280233424167</c:v>
                </c:pt>
                <c:pt idx="54">
                  <c:v>530.82809016687929</c:v>
                </c:pt>
                <c:pt idx="55">
                  <c:v>558.66337799951702</c:v>
                </c:pt>
                <c:pt idx="56">
                  <c:v>586.49866583215476</c:v>
                </c:pt>
                <c:pt idx="57">
                  <c:v>614.3339536647926</c:v>
                </c:pt>
                <c:pt idx="58">
                  <c:v>642.16924149743033</c:v>
                </c:pt>
                <c:pt idx="59">
                  <c:v>670.00452933006818</c:v>
                </c:pt>
                <c:pt idx="60">
                  <c:v>697.83981716270591</c:v>
                </c:pt>
                <c:pt idx="61">
                  <c:v>725.67510499534353</c:v>
                </c:pt>
                <c:pt idx="62">
                  <c:v>753.51039282798126</c:v>
                </c:pt>
                <c:pt idx="63">
                  <c:v>781.345680660619</c:v>
                </c:pt>
                <c:pt idx="64">
                  <c:v>809.18096849325684</c:v>
                </c:pt>
                <c:pt idx="65">
                  <c:v>837.01625632589457</c:v>
                </c:pt>
                <c:pt idx="66">
                  <c:v>864.85154415853242</c:v>
                </c:pt>
                <c:pt idx="67">
                  <c:v>892.68683199117015</c:v>
                </c:pt>
                <c:pt idx="68">
                  <c:v>920.52211982380777</c:v>
                </c:pt>
                <c:pt idx="69">
                  <c:v>948.3574076564455</c:v>
                </c:pt>
                <c:pt idx="70">
                  <c:v>976.19269548908335</c:v>
                </c:pt>
                <c:pt idx="71">
                  <c:v>1004.0279833217211</c:v>
                </c:pt>
                <c:pt idx="72">
                  <c:v>1031.8632711543589</c:v>
                </c:pt>
                <c:pt idx="73">
                  <c:v>1059.6985589869967</c:v>
                </c:pt>
                <c:pt idx="74">
                  <c:v>1087.5338468196346</c:v>
                </c:pt>
                <c:pt idx="75">
                  <c:v>1115.3691346522719</c:v>
                </c:pt>
                <c:pt idx="76">
                  <c:v>1143.2044224849101</c:v>
                </c:pt>
                <c:pt idx="77">
                  <c:v>1171.0397103175478</c:v>
                </c:pt>
                <c:pt idx="78">
                  <c:v>1198.8749981501858</c:v>
                </c:pt>
                <c:pt idx="79">
                  <c:v>1226.7102859828231</c:v>
                </c:pt>
                <c:pt idx="80">
                  <c:v>1254.5455738154608</c:v>
                </c:pt>
                <c:pt idx="81">
                  <c:v>1282.3808616480985</c:v>
                </c:pt>
                <c:pt idx="82">
                  <c:v>1310.2161494807362</c:v>
                </c:pt>
                <c:pt idx="83">
                  <c:v>1338.0514373133742</c:v>
                </c:pt>
                <c:pt idx="84">
                  <c:v>1365.8867251460119</c:v>
                </c:pt>
                <c:pt idx="85">
                  <c:v>1393.7220129786497</c:v>
                </c:pt>
                <c:pt idx="86">
                  <c:v>1421.5573008112874</c:v>
                </c:pt>
                <c:pt idx="87">
                  <c:v>1449.3925886439254</c:v>
                </c:pt>
                <c:pt idx="88">
                  <c:v>1477.2278764765631</c:v>
                </c:pt>
                <c:pt idx="89">
                  <c:v>1505.0631643092008</c:v>
                </c:pt>
                <c:pt idx="90">
                  <c:v>1532.8984521418386</c:v>
                </c:pt>
                <c:pt idx="91">
                  <c:v>1560.7337399744763</c:v>
                </c:pt>
                <c:pt idx="92">
                  <c:v>1588.5690278071143</c:v>
                </c:pt>
                <c:pt idx="93">
                  <c:v>1616.4043156397515</c:v>
                </c:pt>
                <c:pt idx="94">
                  <c:v>1644.2396034723893</c:v>
                </c:pt>
                <c:pt idx="95">
                  <c:v>1672.074891305027</c:v>
                </c:pt>
                <c:pt idx="96">
                  <c:v>1699.910179137665</c:v>
                </c:pt>
                <c:pt idx="97">
                  <c:v>1727.7454669703027</c:v>
                </c:pt>
                <c:pt idx="98">
                  <c:v>1755.5807548029404</c:v>
                </c:pt>
                <c:pt idx="99">
                  <c:v>1783.4160426355779</c:v>
                </c:pt>
              </c:numCache>
            </c:numRef>
          </c:xVal>
          <c:yVal>
            <c:numRef>
              <c:f>Gap60deg!$O$67:$DJ$67</c:f>
              <c:numCache>
                <c:formatCode>General</c:formatCode>
                <c:ptCount val="100"/>
                <c:pt idx="0">
                  <c:v>2865.3795655148106</c:v>
                </c:pt>
                <c:pt idx="1">
                  <c:v>2865.3795655148106</c:v>
                </c:pt>
                <c:pt idx="2">
                  <c:v>2865.3810132263552</c:v>
                </c:pt>
                <c:pt idx="3">
                  <c:v>2865.4023845784254</c:v>
                </c:pt>
                <c:pt idx="4">
                  <c:v>2865.4492989012356</c:v>
                </c:pt>
                <c:pt idx="5">
                  <c:v>2865.5217561947857</c:v>
                </c:pt>
                <c:pt idx="6">
                  <c:v>2865.6197564590757</c:v>
                </c:pt>
                <c:pt idx="7">
                  <c:v>2865.7432996941056</c:v>
                </c:pt>
                <c:pt idx="8">
                  <c:v>2865.8923858998755</c:v>
                </c:pt>
                <c:pt idx="9">
                  <c:v>2866.0670150763849</c:v>
                </c:pt>
                <c:pt idx="10">
                  <c:v>2866.2671872236347</c:v>
                </c:pt>
                <c:pt idx="11">
                  <c:v>2866.4929023416248</c:v>
                </c:pt>
                <c:pt idx="12">
                  <c:v>2866.7441604303544</c:v>
                </c:pt>
                <c:pt idx="13">
                  <c:v>2867.020961489824</c:v>
                </c:pt>
                <c:pt idx="14">
                  <c:v>2867.3233055200335</c:v>
                </c:pt>
                <c:pt idx="15">
                  <c:v>2867.6511925209829</c:v>
                </c:pt>
                <c:pt idx="16">
                  <c:v>2868.0046224926728</c:v>
                </c:pt>
                <c:pt idx="17">
                  <c:v>2868.3835954351021</c:v>
                </c:pt>
                <c:pt idx="18">
                  <c:v>2868.7881113482717</c:v>
                </c:pt>
                <c:pt idx="19">
                  <c:v>2869.2181702321809</c:v>
                </c:pt>
                <c:pt idx="20">
                  <c:v>2869.6737720868305</c:v>
                </c:pt>
                <c:pt idx="21">
                  <c:v>2870.15491691222</c:v>
                </c:pt>
                <c:pt idx="22">
                  <c:v>2870.6616047083489</c:v>
                </c:pt>
                <c:pt idx="23">
                  <c:v>2871.1938354752183</c:v>
                </c:pt>
                <c:pt idx="24">
                  <c:v>2871.7516092128276</c:v>
                </c:pt>
                <c:pt idx="25">
                  <c:v>2872.3349259211764</c:v>
                </c:pt>
                <c:pt idx="26">
                  <c:v>2872.943785600266</c:v>
                </c:pt>
                <c:pt idx="27">
                  <c:v>2873.5781882500946</c:v>
                </c:pt>
                <c:pt idx="28">
                  <c:v>2874.2381338706641</c:v>
                </c:pt>
                <c:pt idx="29">
                  <c:v>2874.9236224619726</c:v>
                </c:pt>
                <c:pt idx="30">
                  <c:v>2875.6346540240215</c:v>
                </c:pt>
                <c:pt idx="31">
                  <c:v>2876.4071360306762</c:v>
                </c:pt>
                <c:pt idx="32">
                  <c:v>2877.4568079370083</c:v>
                </c:pt>
                <c:pt idx="33">
                  <c:v>2878.8196754655851</c:v>
                </c:pt>
                <c:pt idx="34">
                  <c:v>2880.4957386164078</c:v>
                </c:pt>
                <c:pt idx="35">
                  <c:v>2882.4849973894752</c:v>
                </c:pt>
                <c:pt idx="36">
                  <c:v>2884.7874517847886</c:v>
                </c:pt>
                <c:pt idx="37">
                  <c:v>2887.4031018023466</c:v>
                </c:pt>
                <c:pt idx="38">
                  <c:v>2890.3319474421501</c:v>
                </c:pt>
                <c:pt idx="39">
                  <c:v>2893.5739887041991</c:v>
                </c:pt>
                <c:pt idx="40">
                  <c:v>2897.1292255884932</c:v>
                </c:pt>
                <c:pt idx="41">
                  <c:v>2900.9976580950324</c:v>
                </c:pt>
                <c:pt idx="42">
                  <c:v>2905.1792862238171</c:v>
                </c:pt>
                <c:pt idx="43">
                  <c:v>2909.6741099748465</c:v>
                </c:pt>
                <c:pt idx="44">
                  <c:v>2914.4821293481223</c:v>
                </c:pt>
                <c:pt idx="45">
                  <c:v>2919.6033443436427</c:v>
                </c:pt>
                <c:pt idx="46">
                  <c:v>2925.0377549614082</c:v>
                </c:pt>
                <c:pt idx="47">
                  <c:v>2930.7853612014196</c:v>
                </c:pt>
                <c:pt idx="48">
                  <c:v>2936.8461630636757</c:v>
                </c:pt>
                <c:pt idx="49">
                  <c:v>2943.2201605481769</c:v>
                </c:pt>
                <c:pt idx="50">
                  <c:v>2949.907353654924</c:v>
                </c:pt>
                <c:pt idx="51">
                  <c:v>2956.9077423839158</c:v>
                </c:pt>
                <c:pt idx="52">
                  <c:v>2964.2213267351535</c:v>
                </c:pt>
                <c:pt idx="53">
                  <c:v>2971.8481067086359</c:v>
                </c:pt>
                <c:pt idx="54">
                  <c:v>2979.7880823043643</c:v>
                </c:pt>
                <c:pt idx="55">
                  <c:v>2988.0412535223368</c:v>
                </c:pt>
                <c:pt idx="56">
                  <c:v>2996.6076203625557</c:v>
                </c:pt>
                <c:pt idx="57">
                  <c:v>3005.4871828250193</c:v>
                </c:pt>
                <c:pt idx="58">
                  <c:v>3014.6799409097284</c:v>
                </c:pt>
                <c:pt idx="59">
                  <c:v>3024.1858946166826</c:v>
                </c:pt>
                <c:pt idx="60">
                  <c:v>3034.0050439458819</c:v>
                </c:pt>
                <c:pt idx="61">
                  <c:v>3044.1373888973267</c:v>
                </c:pt>
                <c:pt idx="62">
                  <c:v>3054.5829294710175</c:v>
                </c:pt>
                <c:pt idx="63">
                  <c:v>3065.3416656669528</c:v>
                </c:pt>
                <c:pt idx="64">
                  <c:v>3076.4135974851329</c:v>
                </c:pt>
                <c:pt idx="65">
                  <c:v>3087.7987249255589</c:v>
                </c:pt>
                <c:pt idx="66">
                  <c:v>3099.4970479882304</c:v>
                </c:pt>
                <c:pt idx="67">
                  <c:v>3111.508566673147</c:v>
                </c:pt>
                <c:pt idx="68">
                  <c:v>3123.8332809803087</c:v>
                </c:pt>
                <c:pt idx="69">
                  <c:v>3136.4711909097155</c:v>
                </c:pt>
                <c:pt idx="70">
                  <c:v>3149.4222964613682</c:v>
                </c:pt>
                <c:pt idx="71">
                  <c:v>3162.6865976352656</c:v>
                </c:pt>
                <c:pt idx="72">
                  <c:v>3176.264094431408</c:v>
                </c:pt>
                <c:pt idx="73">
                  <c:v>3190.1547868497969</c:v>
                </c:pt>
                <c:pt idx="74">
                  <c:v>3204.3586748904304</c:v>
                </c:pt>
                <c:pt idx="75">
                  <c:v>3218.8757585533085</c:v>
                </c:pt>
                <c:pt idx="76">
                  <c:v>3233.7060378384331</c:v>
                </c:pt>
                <c:pt idx="77">
                  <c:v>3248.8495127458018</c:v>
                </c:pt>
                <c:pt idx="78">
                  <c:v>3264.3061832754165</c:v>
                </c:pt>
                <c:pt idx="79">
                  <c:v>3280.0760494272758</c:v>
                </c:pt>
                <c:pt idx="80">
                  <c:v>3296.1591112013812</c:v>
                </c:pt>
                <c:pt idx="81">
                  <c:v>3312.5553685977316</c:v>
                </c:pt>
                <c:pt idx="82">
                  <c:v>3329.264821616327</c:v>
                </c:pt>
                <c:pt idx="83">
                  <c:v>3346.2874702571676</c:v>
                </c:pt>
                <c:pt idx="84">
                  <c:v>3363.6233145202536</c:v>
                </c:pt>
                <c:pt idx="85">
                  <c:v>3381.2723544055857</c:v>
                </c:pt>
                <c:pt idx="86">
                  <c:v>3399.2345899131624</c:v>
                </c:pt>
                <c:pt idx="87">
                  <c:v>3417.5100210429841</c:v>
                </c:pt>
                <c:pt idx="88">
                  <c:v>3436.0986477950514</c:v>
                </c:pt>
                <c:pt idx="89">
                  <c:v>3455.0004701693642</c:v>
                </c:pt>
                <c:pt idx="90">
                  <c:v>3474.2154881659221</c:v>
                </c:pt>
                <c:pt idx="91">
                  <c:v>3493.7437017847246</c:v>
                </c:pt>
                <c:pt idx="92">
                  <c:v>3513.5851110257736</c:v>
                </c:pt>
                <c:pt idx="93">
                  <c:v>3533.7397158890662</c:v>
                </c:pt>
                <c:pt idx="94">
                  <c:v>3554.2075163746058</c:v>
                </c:pt>
                <c:pt idx="95">
                  <c:v>3574.98851248239</c:v>
                </c:pt>
                <c:pt idx="96">
                  <c:v>3596.0827042124192</c:v>
                </c:pt>
                <c:pt idx="97">
                  <c:v>3617.490091564694</c:v>
                </c:pt>
                <c:pt idx="98">
                  <c:v>3639.2106745392139</c:v>
                </c:pt>
                <c:pt idx="99">
                  <c:v>3661.2444531359793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815-497C-9427-4C1032BD2F6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59877744"/>
        <c:axId val="1213121792"/>
      </c:scatterChart>
      <c:valAx>
        <c:axId val="17598777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Shell Pull Force [kN]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213121792"/>
        <c:crosses val="autoZero"/>
        <c:crossBetween val="midCat"/>
      </c:valAx>
      <c:valAx>
        <c:axId val="1213121792"/>
        <c:scaling>
          <c:orientation val="minMax"/>
          <c:min val="25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Bolt Axial Force</a:t>
                </a:r>
                <a:r>
                  <a:rPr lang="en-US" sz="1200" baseline="0"/>
                  <a:t> [kN]</a:t>
                </a:r>
                <a:endParaRPr lang="en-US" sz="12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7598777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NL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Gap90deg!$O$66:$DJ$66</c:f>
              <c:numCache>
                <c:formatCode>General</c:formatCode>
                <c:ptCount val="100"/>
                <c:pt idx="0">
                  <c:v>-876.58190219806704</c:v>
                </c:pt>
                <c:pt idx="1">
                  <c:v>-850.80028912083344</c:v>
                </c:pt>
                <c:pt idx="2">
                  <c:v>-825.01867604359984</c:v>
                </c:pt>
                <c:pt idx="3">
                  <c:v>-799.23706296636624</c:v>
                </c:pt>
                <c:pt idx="4">
                  <c:v>-773.45544988913264</c:v>
                </c:pt>
                <c:pt idx="5">
                  <c:v>-747.67383681189892</c:v>
                </c:pt>
                <c:pt idx="6">
                  <c:v>-721.89222373466544</c:v>
                </c:pt>
                <c:pt idx="7">
                  <c:v>-696.11061065743172</c:v>
                </c:pt>
                <c:pt idx="8">
                  <c:v>-670.32899758019812</c:v>
                </c:pt>
                <c:pt idx="9">
                  <c:v>-644.54738450296452</c:v>
                </c:pt>
                <c:pt idx="10">
                  <c:v>-618.76577142573103</c:v>
                </c:pt>
                <c:pt idx="11">
                  <c:v>-592.98415834849732</c:v>
                </c:pt>
                <c:pt idx="12">
                  <c:v>-567.20254527126372</c:v>
                </c:pt>
                <c:pt idx="13">
                  <c:v>-541.42093219403012</c:v>
                </c:pt>
                <c:pt idx="14">
                  <c:v>-515.63931911679651</c:v>
                </c:pt>
                <c:pt idx="15">
                  <c:v>-489.85770603956286</c:v>
                </c:pt>
                <c:pt idx="16">
                  <c:v>-464.07609296232926</c:v>
                </c:pt>
                <c:pt idx="17">
                  <c:v>-438.29447988509565</c:v>
                </c:pt>
                <c:pt idx="18">
                  <c:v>-412.51286680786205</c:v>
                </c:pt>
                <c:pt idx="19">
                  <c:v>-386.73125373062845</c:v>
                </c:pt>
                <c:pt idx="20">
                  <c:v>-360.94964065339485</c:v>
                </c:pt>
                <c:pt idx="21">
                  <c:v>-335.16802757616119</c:v>
                </c:pt>
                <c:pt idx="22">
                  <c:v>-309.38641449892765</c:v>
                </c:pt>
                <c:pt idx="23">
                  <c:v>-283.60480142169399</c:v>
                </c:pt>
                <c:pt idx="24">
                  <c:v>-257.82318834446033</c:v>
                </c:pt>
                <c:pt idx="25">
                  <c:v>-232.04157526722679</c:v>
                </c:pt>
                <c:pt idx="26">
                  <c:v>-206.25996218999313</c:v>
                </c:pt>
                <c:pt idx="27">
                  <c:v>-180.47834911275959</c:v>
                </c:pt>
                <c:pt idx="28">
                  <c:v>-154.6967360355259</c:v>
                </c:pt>
                <c:pt idx="29">
                  <c:v>-128.91512295829236</c:v>
                </c:pt>
                <c:pt idx="30">
                  <c:v>-103.13350988105871</c:v>
                </c:pt>
                <c:pt idx="31">
                  <c:v>-77.351896803825156</c:v>
                </c:pt>
                <c:pt idx="32">
                  <c:v>-51.570283726591498</c:v>
                </c:pt>
                <c:pt idx="33">
                  <c:v>-25.78867064935784</c:v>
                </c:pt>
                <c:pt idx="34">
                  <c:v>-7.0575721242930739E-3</c:v>
                </c:pt>
                <c:pt idx="35">
                  <c:v>25.774555505109369</c:v>
                </c:pt>
                <c:pt idx="36">
                  <c:v>51.556168582342913</c:v>
                </c:pt>
                <c:pt idx="37">
                  <c:v>77.337781659576578</c:v>
                </c:pt>
                <c:pt idx="38">
                  <c:v>103.11939473681012</c:v>
                </c:pt>
                <c:pt idx="39">
                  <c:v>128.90100781404379</c:v>
                </c:pt>
                <c:pt idx="40">
                  <c:v>154.68262089127734</c:v>
                </c:pt>
                <c:pt idx="41">
                  <c:v>180.46423396851111</c:v>
                </c:pt>
                <c:pt idx="42">
                  <c:v>206.24584704574465</c:v>
                </c:pt>
                <c:pt idx="43">
                  <c:v>232.0274601229782</c:v>
                </c:pt>
                <c:pt idx="44">
                  <c:v>257.80907320021174</c:v>
                </c:pt>
                <c:pt idx="45">
                  <c:v>283.59068627744551</c:v>
                </c:pt>
                <c:pt idx="46">
                  <c:v>309.37229935467906</c:v>
                </c:pt>
                <c:pt idx="47">
                  <c:v>335.1539124319126</c:v>
                </c:pt>
                <c:pt idx="48">
                  <c:v>360.93552550914637</c:v>
                </c:pt>
                <c:pt idx="49">
                  <c:v>386.71713858637992</c:v>
                </c:pt>
                <c:pt idx="50">
                  <c:v>412.49875166361346</c:v>
                </c:pt>
                <c:pt idx="51">
                  <c:v>438.28036474084701</c:v>
                </c:pt>
                <c:pt idx="52">
                  <c:v>464.06197781808083</c:v>
                </c:pt>
                <c:pt idx="53">
                  <c:v>489.84359089531438</c:v>
                </c:pt>
                <c:pt idx="54">
                  <c:v>515.62520397254787</c:v>
                </c:pt>
                <c:pt idx="55">
                  <c:v>541.40681704978147</c:v>
                </c:pt>
                <c:pt idx="56">
                  <c:v>567.18843012701518</c:v>
                </c:pt>
                <c:pt idx="57">
                  <c:v>592.97004320424878</c:v>
                </c:pt>
                <c:pt idx="58">
                  <c:v>618.75165628148227</c:v>
                </c:pt>
                <c:pt idx="59">
                  <c:v>644.5332693587161</c:v>
                </c:pt>
                <c:pt idx="60">
                  <c:v>670.31488243594958</c:v>
                </c:pt>
                <c:pt idx="61">
                  <c:v>696.09649551318319</c:v>
                </c:pt>
                <c:pt idx="62">
                  <c:v>721.87810859041667</c:v>
                </c:pt>
                <c:pt idx="63">
                  <c:v>747.6597216676505</c:v>
                </c:pt>
                <c:pt idx="64">
                  <c:v>773.4413347448841</c:v>
                </c:pt>
                <c:pt idx="65">
                  <c:v>799.22294782211759</c:v>
                </c:pt>
                <c:pt idx="66">
                  <c:v>825.00456089935142</c:v>
                </c:pt>
                <c:pt idx="67">
                  <c:v>850.78617397658491</c:v>
                </c:pt>
                <c:pt idx="68">
                  <c:v>876.56778705381851</c:v>
                </c:pt>
                <c:pt idx="69">
                  <c:v>902.34940013105199</c:v>
                </c:pt>
                <c:pt idx="70">
                  <c:v>928.13101320828582</c:v>
                </c:pt>
                <c:pt idx="71">
                  <c:v>953.91262628551931</c:v>
                </c:pt>
                <c:pt idx="72">
                  <c:v>979.69423936275291</c:v>
                </c:pt>
                <c:pt idx="73">
                  <c:v>1005.4758524399866</c:v>
                </c:pt>
                <c:pt idx="74">
                  <c:v>1031.2574655172202</c:v>
                </c:pt>
                <c:pt idx="75">
                  <c:v>1057.0390785944537</c:v>
                </c:pt>
                <c:pt idx="76">
                  <c:v>1082.8206916716872</c:v>
                </c:pt>
                <c:pt idx="77">
                  <c:v>1108.6023047489211</c:v>
                </c:pt>
                <c:pt idx="78">
                  <c:v>1134.3839178261546</c:v>
                </c:pt>
                <c:pt idx="79">
                  <c:v>1160.1655309033883</c:v>
                </c:pt>
                <c:pt idx="80">
                  <c:v>1185.9471439806218</c:v>
                </c:pt>
                <c:pt idx="81">
                  <c:v>1211.7287570578553</c:v>
                </c:pt>
                <c:pt idx="82">
                  <c:v>1237.5103701350895</c:v>
                </c:pt>
                <c:pt idx="83">
                  <c:v>1263.291983212323</c:v>
                </c:pt>
                <c:pt idx="84">
                  <c:v>1289.0735962895565</c:v>
                </c:pt>
                <c:pt idx="85">
                  <c:v>1314.8552093667899</c:v>
                </c:pt>
                <c:pt idx="86">
                  <c:v>1340.6368224440237</c:v>
                </c:pt>
                <c:pt idx="87">
                  <c:v>1366.4184355212572</c:v>
                </c:pt>
                <c:pt idx="88">
                  <c:v>1392.2000485984906</c:v>
                </c:pt>
                <c:pt idx="89">
                  <c:v>1417.9816616757246</c:v>
                </c:pt>
                <c:pt idx="90">
                  <c:v>1443.7632747529583</c:v>
                </c:pt>
                <c:pt idx="91">
                  <c:v>1469.5448878301918</c:v>
                </c:pt>
                <c:pt idx="92">
                  <c:v>1495.3265009074253</c:v>
                </c:pt>
                <c:pt idx="93">
                  <c:v>1521.1081139846588</c:v>
                </c:pt>
                <c:pt idx="94">
                  <c:v>1546.8897270618925</c:v>
                </c:pt>
                <c:pt idx="95">
                  <c:v>1572.671340139126</c:v>
                </c:pt>
                <c:pt idx="96">
                  <c:v>1598.4529532163599</c:v>
                </c:pt>
                <c:pt idx="97">
                  <c:v>1624.2345662935934</c:v>
                </c:pt>
                <c:pt idx="98">
                  <c:v>1650.0161793708271</c:v>
                </c:pt>
                <c:pt idx="99">
                  <c:v>1675.7977924480606</c:v>
                </c:pt>
              </c:numCache>
            </c:numRef>
          </c:xVal>
          <c:yVal>
            <c:numRef>
              <c:f>Gap90deg!$O$68:$DJ$68</c:f>
              <c:numCache>
                <c:formatCode>General</c:formatCode>
                <c:ptCount val="100"/>
                <c:pt idx="0">
                  <c:v>-126.72273417180187</c:v>
                </c:pt>
                <c:pt idx="1">
                  <c:v>-126.72273417180187</c:v>
                </c:pt>
                <c:pt idx="2">
                  <c:v>-126.7041187460072</c:v>
                </c:pt>
                <c:pt idx="3">
                  <c:v>-126.4781037190603</c:v>
                </c:pt>
                <c:pt idx="4">
                  <c:v>-125.9955272976199</c:v>
                </c:pt>
                <c:pt idx="5">
                  <c:v>-125.25638948168603</c:v>
                </c:pt>
                <c:pt idx="6">
                  <c:v>-124.26069027125871</c:v>
                </c:pt>
                <c:pt idx="7">
                  <c:v>-123.00842966633789</c:v>
                </c:pt>
                <c:pt idx="8">
                  <c:v>-121.49960766692357</c:v>
                </c:pt>
                <c:pt idx="9">
                  <c:v>-119.7342242730158</c:v>
                </c:pt>
                <c:pt idx="10">
                  <c:v>-117.71227948461456</c:v>
                </c:pt>
                <c:pt idx="11">
                  <c:v>-115.43377330171981</c:v>
                </c:pt>
                <c:pt idx="12">
                  <c:v>-112.89870572433159</c:v>
                </c:pt>
                <c:pt idx="13">
                  <c:v>-110.10707675244991</c:v>
                </c:pt>
                <c:pt idx="14">
                  <c:v>-107.05888638607475</c:v>
                </c:pt>
                <c:pt idx="15">
                  <c:v>-103.75413462520611</c:v>
                </c:pt>
                <c:pt idx="16">
                  <c:v>-100.19282146984399</c:v>
                </c:pt>
                <c:pt idx="17">
                  <c:v>-96.374946919988403</c:v>
                </c:pt>
                <c:pt idx="18">
                  <c:v>-92.300510975639327</c:v>
                </c:pt>
                <c:pt idx="19">
                  <c:v>-87.969513636796762</c:v>
                </c:pt>
                <c:pt idx="20">
                  <c:v>-83.381954903460738</c:v>
                </c:pt>
                <c:pt idx="21">
                  <c:v>-78.537834775631211</c:v>
                </c:pt>
                <c:pt idx="22">
                  <c:v>-73.437153253308239</c:v>
                </c:pt>
                <c:pt idx="23">
                  <c:v>-68.079910336491764</c:v>
                </c:pt>
                <c:pt idx="24">
                  <c:v>-62.466106025181823</c:v>
                </c:pt>
                <c:pt idx="25">
                  <c:v>-56.595740319378429</c:v>
                </c:pt>
                <c:pt idx="26">
                  <c:v>-50.468813219081511</c:v>
                </c:pt>
                <c:pt idx="27">
                  <c:v>-44.085324724291155</c:v>
                </c:pt>
                <c:pt idx="28">
                  <c:v>-37.445274835007289</c:v>
                </c:pt>
                <c:pt idx="29">
                  <c:v>-30.548663551229978</c:v>
                </c:pt>
                <c:pt idx="30">
                  <c:v>-23.175354706456709</c:v>
                </c:pt>
                <c:pt idx="31">
                  <c:v>-14.842437875018952</c:v>
                </c:pt>
                <c:pt idx="32">
                  <c:v>-5.5327815167150085</c:v>
                </c:pt>
                <c:pt idx="33">
                  <c:v>4.7536143684550858</c:v>
                </c:pt>
                <c:pt idx="34">
                  <c:v>16.016749780491285</c:v>
                </c:pt>
                <c:pt idx="35">
                  <c:v>28.256624719393685</c:v>
                </c:pt>
                <c:pt idx="36">
                  <c:v>41.473239185162171</c:v>
                </c:pt>
                <c:pt idx="37">
                  <c:v>55.666593177796877</c:v>
                </c:pt>
                <c:pt idx="38">
                  <c:v>70.836686697297665</c:v>
                </c:pt>
                <c:pt idx="39">
                  <c:v>86.983519743664658</c:v>
                </c:pt>
                <c:pt idx="40">
                  <c:v>104.10709231689773</c:v>
                </c:pt>
                <c:pt idx="41">
                  <c:v>122.20740441699712</c:v>
                </c:pt>
                <c:pt idx="42">
                  <c:v>141.28445604396248</c:v>
                </c:pt>
                <c:pt idx="43">
                  <c:v>161.33824719779403</c:v>
                </c:pt>
                <c:pt idx="44">
                  <c:v>182.3687778784917</c:v>
                </c:pt>
                <c:pt idx="45">
                  <c:v>204.37604808605568</c:v>
                </c:pt>
                <c:pt idx="46">
                  <c:v>227.36005782048565</c:v>
                </c:pt>
                <c:pt idx="47">
                  <c:v>251.32080708178177</c:v>
                </c:pt>
                <c:pt idx="48">
                  <c:v>276.25829586994422</c:v>
                </c:pt>
                <c:pt idx="49">
                  <c:v>302.17252418497264</c:v>
                </c:pt>
                <c:pt idx="50">
                  <c:v>329.06349202686721</c:v>
                </c:pt>
                <c:pt idx="51">
                  <c:v>356.93119939562791</c:v>
                </c:pt>
                <c:pt idx="52">
                  <c:v>385.77564629125499</c:v>
                </c:pt>
                <c:pt idx="53">
                  <c:v>415.59683271374792</c:v>
                </c:pt>
                <c:pt idx="54">
                  <c:v>446.39475866310704</c:v>
                </c:pt>
                <c:pt idx="55">
                  <c:v>478.16942413933236</c:v>
                </c:pt>
                <c:pt idx="56">
                  <c:v>510.92082914242411</c:v>
                </c:pt>
                <c:pt idx="57">
                  <c:v>544.64897367238166</c:v>
                </c:pt>
                <c:pt idx="58">
                  <c:v>579.35385772920529</c:v>
                </c:pt>
                <c:pt idx="59">
                  <c:v>615.03548131289551</c:v>
                </c:pt>
                <c:pt idx="60">
                  <c:v>651.69384442345154</c:v>
                </c:pt>
                <c:pt idx="61">
                  <c:v>689.3289470608737</c:v>
                </c:pt>
                <c:pt idx="62">
                  <c:v>727.94078922516201</c:v>
                </c:pt>
                <c:pt idx="63">
                  <c:v>767.52937091631679</c:v>
                </c:pt>
                <c:pt idx="64">
                  <c:v>808.09469213433749</c:v>
                </c:pt>
                <c:pt idx="65">
                  <c:v>849.6367528792241</c:v>
                </c:pt>
                <c:pt idx="66">
                  <c:v>892.15555315097743</c:v>
                </c:pt>
                <c:pt idx="67">
                  <c:v>935.65109294959643</c:v>
                </c:pt>
                <c:pt idx="68">
                  <c:v>980.12337227508169</c:v>
                </c:pt>
                <c:pt idx="69">
                  <c:v>1025.5723911274331</c:v>
                </c:pt>
                <c:pt idx="70">
                  <c:v>1071.9981495066509</c:v>
                </c:pt>
                <c:pt idx="71">
                  <c:v>1119.4006474127343</c:v>
                </c:pt>
                <c:pt idx="72">
                  <c:v>1167.7798848456841</c:v>
                </c:pt>
                <c:pt idx="73">
                  <c:v>1217.1358618055006</c:v>
                </c:pt>
                <c:pt idx="74">
                  <c:v>1267.4685782921827</c:v>
                </c:pt>
                <c:pt idx="75">
                  <c:v>1318.7780343057307</c:v>
                </c:pt>
                <c:pt idx="76">
                  <c:v>1371.0642298461451</c:v>
                </c:pt>
                <c:pt idx="77">
                  <c:v>1424.3271649134265</c:v>
                </c:pt>
                <c:pt idx="78">
                  <c:v>1478.5668395075731</c:v>
                </c:pt>
                <c:pt idx="79">
                  <c:v>1533.7832536285862</c:v>
                </c:pt>
                <c:pt idx="80">
                  <c:v>1589.9764072764649</c:v>
                </c:pt>
                <c:pt idx="81">
                  <c:v>1647.14630045121</c:v>
                </c:pt>
                <c:pt idx="82">
                  <c:v>1705.2929331528223</c:v>
                </c:pt>
                <c:pt idx="83">
                  <c:v>1764.4163053812997</c:v>
                </c:pt>
                <c:pt idx="84">
                  <c:v>1824.5164171366434</c:v>
                </c:pt>
                <c:pt idx="85">
                  <c:v>1885.5932684188529</c:v>
                </c:pt>
                <c:pt idx="86">
                  <c:v>1947.6468592279289</c:v>
                </c:pt>
                <c:pt idx="87">
                  <c:v>2010.6771895638706</c:v>
                </c:pt>
                <c:pt idx="88">
                  <c:v>2074.6842594266786</c:v>
                </c:pt>
                <c:pt idx="89">
                  <c:v>2139.6680688163542</c:v>
                </c:pt>
                <c:pt idx="90">
                  <c:v>2205.6286177328948</c:v>
                </c:pt>
                <c:pt idx="91">
                  <c:v>2272.5659061763013</c:v>
                </c:pt>
                <c:pt idx="92">
                  <c:v>2340.4799341465741</c:v>
                </c:pt>
                <c:pt idx="93">
                  <c:v>2409.3707016437129</c:v>
                </c:pt>
                <c:pt idx="94">
                  <c:v>2479.238208667718</c:v>
                </c:pt>
                <c:pt idx="95">
                  <c:v>2550.0824552185891</c:v>
                </c:pt>
                <c:pt idx="96">
                  <c:v>2621.9034412963279</c:v>
                </c:pt>
                <c:pt idx="97">
                  <c:v>2694.7011669009312</c:v>
                </c:pt>
                <c:pt idx="98">
                  <c:v>2768.4756320324004</c:v>
                </c:pt>
                <c:pt idx="99">
                  <c:v>2843.2268366907365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831-411C-9A27-8BF06B65860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59877744"/>
        <c:axId val="1213121792"/>
      </c:scatterChart>
      <c:valAx>
        <c:axId val="17598777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Shell Pull Force [kN]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213121792"/>
        <c:crosses val="autoZero"/>
        <c:crossBetween val="midCat"/>
      </c:valAx>
      <c:valAx>
        <c:axId val="12131217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Bolt Bending Moment </a:t>
                </a:r>
                <a:r>
                  <a:rPr lang="en-US" sz="1200" baseline="0"/>
                  <a:t>[N·m]</a:t>
                </a:r>
                <a:endParaRPr lang="en-US" sz="12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7598777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NL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Gap90deg!$O$66:$DJ$66</c:f>
              <c:numCache>
                <c:formatCode>General</c:formatCode>
                <c:ptCount val="100"/>
                <c:pt idx="0">
                  <c:v>-876.58190219806704</c:v>
                </c:pt>
                <c:pt idx="1">
                  <c:v>-850.80028912083344</c:v>
                </c:pt>
                <c:pt idx="2">
                  <c:v>-825.01867604359984</c:v>
                </c:pt>
                <c:pt idx="3">
                  <c:v>-799.23706296636624</c:v>
                </c:pt>
                <c:pt idx="4">
                  <c:v>-773.45544988913264</c:v>
                </c:pt>
                <c:pt idx="5">
                  <c:v>-747.67383681189892</c:v>
                </c:pt>
                <c:pt idx="6">
                  <c:v>-721.89222373466544</c:v>
                </c:pt>
                <c:pt idx="7">
                  <c:v>-696.11061065743172</c:v>
                </c:pt>
                <c:pt idx="8">
                  <c:v>-670.32899758019812</c:v>
                </c:pt>
                <c:pt idx="9">
                  <c:v>-644.54738450296452</c:v>
                </c:pt>
                <c:pt idx="10">
                  <c:v>-618.76577142573103</c:v>
                </c:pt>
                <c:pt idx="11">
                  <c:v>-592.98415834849732</c:v>
                </c:pt>
                <c:pt idx="12">
                  <c:v>-567.20254527126372</c:v>
                </c:pt>
                <c:pt idx="13">
                  <c:v>-541.42093219403012</c:v>
                </c:pt>
                <c:pt idx="14">
                  <c:v>-515.63931911679651</c:v>
                </c:pt>
                <c:pt idx="15">
                  <c:v>-489.85770603956286</c:v>
                </c:pt>
                <c:pt idx="16">
                  <c:v>-464.07609296232926</c:v>
                </c:pt>
                <c:pt idx="17">
                  <c:v>-438.29447988509565</c:v>
                </c:pt>
                <c:pt idx="18">
                  <c:v>-412.51286680786205</c:v>
                </c:pt>
                <c:pt idx="19">
                  <c:v>-386.73125373062845</c:v>
                </c:pt>
                <c:pt idx="20">
                  <c:v>-360.94964065339485</c:v>
                </c:pt>
                <c:pt idx="21">
                  <c:v>-335.16802757616119</c:v>
                </c:pt>
                <c:pt idx="22">
                  <c:v>-309.38641449892765</c:v>
                </c:pt>
                <c:pt idx="23">
                  <c:v>-283.60480142169399</c:v>
                </c:pt>
                <c:pt idx="24">
                  <c:v>-257.82318834446033</c:v>
                </c:pt>
                <c:pt idx="25">
                  <c:v>-232.04157526722679</c:v>
                </c:pt>
                <c:pt idx="26">
                  <c:v>-206.25996218999313</c:v>
                </c:pt>
                <c:pt idx="27">
                  <c:v>-180.47834911275959</c:v>
                </c:pt>
                <c:pt idx="28">
                  <c:v>-154.6967360355259</c:v>
                </c:pt>
                <c:pt idx="29">
                  <c:v>-128.91512295829236</c:v>
                </c:pt>
                <c:pt idx="30">
                  <c:v>-103.13350988105871</c:v>
                </c:pt>
                <c:pt idx="31">
                  <c:v>-77.351896803825156</c:v>
                </c:pt>
                <c:pt idx="32">
                  <c:v>-51.570283726591498</c:v>
                </c:pt>
                <c:pt idx="33">
                  <c:v>-25.78867064935784</c:v>
                </c:pt>
                <c:pt idx="34">
                  <c:v>-7.0575721242930739E-3</c:v>
                </c:pt>
                <c:pt idx="35">
                  <c:v>25.774555505109369</c:v>
                </c:pt>
                <c:pt idx="36">
                  <c:v>51.556168582342913</c:v>
                </c:pt>
                <c:pt idx="37">
                  <c:v>77.337781659576578</c:v>
                </c:pt>
                <c:pt idx="38">
                  <c:v>103.11939473681012</c:v>
                </c:pt>
                <c:pt idx="39">
                  <c:v>128.90100781404379</c:v>
                </c:pt>
                <c:pt idx="40">
                  <c:v>154.68262089127734</c:v>
                </c:pt>
                <c:pt idx="41">
                  <c:v>180.46423396851111</c:v>
                </c:pt>
                <c:pt idx="42">
                  <c:v>206.24584704574465</c:v>
                </c:pt>
                <c:pt idx="43">
                  <c:v>232.0274601229782</c:v>
                </c:pt>
                <c:pt idx="44">
                  <c:v>257.80907320021174</c:v>
                </c:pt>
                <c:pt idx="45">
                  <c:v>283.59068627744551</c:v>
                </c:pt>
                <c:pt idx="46">
                  <c:v>309.37229935467906</c:v>
                </c:pt>
                <c:pt idx="47">
                  <c:v>335.1539124319126</c:v>
                </c:pt>
                <c:pt idx="48">
                  <c:v>360.93552550914637</c:v>
                </c:pt>
                <c:pt idx="49">
                  <c:v>386.71713858637992</c:v>
                </c:pt>
                <c:pt idx="50">
                  <c:v>412.49875166361346</c:v>
                </c:pt>
                <c:pt idx="51">
                  <c:v>438.28036474084701</c:v>
                </c:pt>
                <c:pt idx="52">
                  <c:v>464.06197781808083</c:v>
                </c:pt>
                <c:pt idx="53">
                  <c:v>489.84359089531438</c:v>
                </c:pt>
                <c:pt idx="54">
                  <c:v>515.62520397254787</c:v>
                </c:pt>
                <c:pt idx="55">
                  <c:v>541.40681704978147</c:v>
                </c:pt>
                <c:pt idx="56">
                  <c:v>567.18843012701518</c:v>
                </c:pt>
                <c:pt idx="57">
                  <c:v>592.97004320424878</c:v>
                </c:pt>
                <c:pt idx="58">
                  <c:v>618.75165628148227</c:v>
                </c:pt>
                <c:pt idx="59">
                  <c:v>644.5332693587161</c:v>
                </c:pt>
                <c:pt idx="60">
                  <c:v>670.31488243594958</c:v>
                </c:pt>
                <c:pt idx="61">
                  <c:v>696.09649551318319</c:v>
                </c:pt>
                <c:pt idx="62">
                  <c:v>721.87810859041667</c:v>
                </c:pt>
                <c:pt idx="63">
                  <c:v>747.6597216676505</c:v>
                </c:pt>
                <c:pt idx="64">
                  <c:v>773.4413347448841</c:v>
                </c:pt>
                <c:pt idx="65">
                  <c:v>799.22294782211759</c:v>
                </c:pt>
                <c:pt idx="66">
                  <c:v>825.00456089935142</c:v>
                </c:pt>
                <c:pt idx="67">
                  <c:v>850.78617397658491</c:v>
                </c:pt>
                <c:pt idx="68">
                  <c:v>876.56778705381851</c:v>
                </c:pt>
                <c:pt idx="69">
                  <c:v>902.34940013105199</c:v>
                </c:pt>
                <c:pt idx="70">
                  <c:v>928.13101320828582</c:v>
                </c:pt>
                <c:pt idx="71">
                  <c:v>953.91262628551931</c:v>
                </c:pt>
                <c:pt idx="72">
                  <c:v>979.69423936275291</c:v>
                </c:pt>
                <c:pt idx="73">
                  <c:v>1005.4758524399866</c:v>
                </c:pt>
                <c:pt idx="74">
                  <c:v>1031.2574655172202</c:v>
                </c:pt>
                <c:pt idx="75">
                  <c:v>1057.0390785944537</c:v>
                </c:pt>
                <c:pt idx="76">
                  <c:v>1082.8206916716872</c:v>
                </c:pt>
                <c:pt idx="77">
                  <c:v>1108.6023047489211</c:v>
                </c:pt>
                <c:pt idx="78">
                  <c:v>1134.3839178261546</c:v>
                </c:pt>
                <c:pt idx="79">
                  <c:v>1160.1655309033883</c:v>
                </c:pt>
                <c:pt idx="80">
                  <c:v>1185.9471439806218</c:v>
                </c:pt>
                <c:pt idx="81">
                  <c:v>1211.7287570578553</c:v>
                </c:pt>
                <c:pt idx="82">
                  <c:v>1237.5103701350895</c:v>
                </c:pt>
                <c:pt idx="83">
                  <c:v>1263.291983212323</c:v>
                </c:pt>
                <c:pt idx="84">
                  <c:v>1289.0735962895565</c:v>
                </c:pt>
                <c:pt idx="85">
                  <c:v>1314.8552093667899</c:v>
                </c:pt>
                <c:pt idx="86">
                  <c:v>1340.6368224440237</c:v>
                </c:pt>
                <c:pt idx="87">
                  <c:v>1366.4184355212572</c:v>
                </c:pt>
                <c:pt idx="88">
                  <c:v>1392.2000485984906</c:v>
                </c:pt>
                <c:pt idx="89">
                  <c:v>1417.9816616757246</c:v>
                </c:pt>
                <c:pt idx="90">
                  <c:v>1443.7632747529583</c:v>
                </c:pt>
                <c:pt idx="91">
                  <c:v>1469.5448878301918</c:v>
                </c:pt>
                <c:pt idx="92">
                  <c:v>1495.3265009074253</c:v>
                </c:pt>
                <c:pt idx="93">
                  <c:v>1521.1081139846588</c:v>
                </c:pt>
                <c:pt idx="94">
                  <c:v>1546.8897270618925</c:v>
                </c:pt>
                <c:pt idx="95">
                  <c:v>1572.671340139126</c:v>
                </c:pt>
                <c:pt idx="96">
                  <c:v>1598.4529532163599</c:v>
                </c:pt>
                <c:pt idx="97">
                  <c:v>1624.2345662935934</c:v>
                </c:pt>
                <c:pt idx="98">
                  <c:v>1650.0161793708271</c:v>
                </c:pt>
                <c:pt idx="99">
                  <c:v>1675.7977924480606</c:v>
                </c:pt>
              </c:numCache>
            </c:numRef>
          </c:xVal>
          <c:yVal>
            <c:numRef>
              <c:f>Gap90deg!$O$67:$DJ$67</c:f>
              <c:numCache>
                <c:formatCode>General</c:formatCode>
                <c:ptCount val="100"/>
                <c:pt idx="0">
                  <c:v>2871.5053973063123</c:v>
                </c:pt>
                <c:pt idx="1">
                  <c:v>2871.5053973063123</c:v>
                </c:pt>
                <c:pt idx="2">
                  <c:v>2871.506253583641</c:v>
                </c:pt>
                <c:pt idx="3">
                  <c:v>2871.5166498832218</c:v>
                </c:pt>
                <c:pt idx="4">
                  <c:v>2871.5388475623581</c:v>
                </c:pt>
                <c:pt idx="5">
                  <c:v>2871.5728466210494</c:v>
                </c:pt>
                <c:pt idx="6">
                  <c:v>2871.6186470592961</c:v>
                </c:pt>
                <c:pt idx="7">
                  <c:v>2871.6762488770978</c:v>
                </c:pt>
                <c:pt idx="8">
                  <c:v>2871.7456520744545</c:v>
                </c:pt>
                <c:pt idx="9">
                  <c:v>2871.8268566513661</c:v>
                </c:pt>
                <c:pt idx="10">
                  <c:v>2871.9198626078328</c:v>
                </c:pt>
                <c:pt idx="11">
                  <c:v>2872.0246699438549</c:v>
                </c:pt>
                <c:pt idx="12">
                  <c:v>2872.1412786594319</c:v>
                </c:pt>
                <c:pt idx="13">
                  <c:v>2872.2696887545635</c:v>
                </c:pt>
                <c:pt idx="14">
                  <c:v>2872.4099002292505</c:v>
                </c:pt>
                <c:pt idx="15">
                  <c:v>2872.561913083493</c:v>
                </c:pt>
                <c:pt idx="16">
                  <c:v>2872.72572731729</c:v>
                </c:pt>
                <c:pt idx="17">
                  <c:v>2872.9013429306424</c:v>
                </c:pt>
                <c:pt idx="18">
                  <c:v>2873.0887599235493</c:v>
                </c:pt>
                <c:pt idx="19">
                  <c:v>2873.2879782960117</c:v>
                </c:pt>
                <c:pt idx="20">
                  <c:v>2873.4989980480295</c:v>
                </c:pt>
                <c:pt idx="21">
                  <c:v>2873.7218191796019</c:v>
                </c:pt>
                <c:pt idx="22">
                  <c:v>2873.9564416907297</c:v>
                </c:pt>
                <c:pt idx="23">
                  <c:v>2874.202865581412</c:v>
                </c:pt>
                <c:pt idx="24">
                  <c:v>2874.4610908516497</c:v>
                </c:pt>
                <c:pt idx="25">
                  <c:v>2874.7311175014424</c:v>
                </c:pt>
                <c:pt idx="26">
                  <c:v>2875.0129455307901</c:v>
                </c:pt>
                <c:pt idx="27">
                  <c:v>2875.3065749396933</c:v>
                </c:pt>
                <c:pt idx="28">
                  <c:v>2875.612005728151</c:v>
                </c:pt>
                <c:pt idx="29">
                  <c:v>2875.9292378961645</c:v>
                </c:pt>
                <c:pt idx="30">
                  <c:v>2876.3505182065087</c:v>
                </c:pt>
                <c:pt idx="31">
                  <c:v>2877.0782074260987</c:v>
                </c:pt>
                <c:pt idx="32">
                  <c:v>2878.1194844258575</c:v>
                </c:pt>
                <c:pt idx="33">
                  <c:v>2879.4743492057855</c:v>
                </c:pt>
                <c:pt idx="34">
                  <c:v>2881.1428017658823</c:v>
                </c:pt>
                <c:pt idx="35">
                  <c:v>2883.1248421061487</c:v>
                </c:pt>
                <c:pt idx="36">
                  <c:v>2885.4204702265833</c:v>
                </c:pt>
                <c:pt idx="37">
                  <c:v>2888.0296861271877</c:v>
                </c:pt>
                <c:pt idx="38">
                  <c:v>2890.9524898079608</c:v>
                </c:pt>
                <c:pt idx="39">
                  <c:v>2894.1888812689026</c:v>
                </c:pt>
                <c:pt idx="40">
                  <c:v>2897.7388605100141</c:v>
                </c:pt>
                <c:pt idx="41">
                  <c:v>2901.6024275312939</c:v>
                </c:pt>
                <c:pt idx="42">
                  <c:v>2905.7795823327433</c:v>
                </c:pt>
                <c:pt idx="43">
                  <c:v>2910.2703249143619</c:v>
                </c:pt>
                <c:pt idx="44">
                  <c:v>2915.0746552761489</c:v>
                </c:pt>
                <c:pt idx="45">
                  <c:v>2920.1925734181054</c:v>
                </c:pt>
                <c:pt idx="46">
                  <c:v>2925.6240793402312</c:v>
                </c:pt>
                <c:pt idx="47">
                  <c:v>2931.3691730425257</c:v>
                </c:pt>
                <c:pt idx="48">
                  <c:v>2937.427854524989</c:v>
                </c:pt>
                <c:pt idx="49">
                  <c:v>2943.8001237876219</c:v>
                </c:pt>
                <c:pt idx="50">
                  <c:v>2950.4859808304236</c:v>
                </c:pt>
                <c:pt idx="51">
                  <c:v>2957.485425653394</c:v>
                </c:pt>
                <c:pt idx="52">
                  <c:v>2964.7984582565336</c:v>
                </c:pt>
                <c:pt idx="53">
                  <c:v>2972.4250786398425</c:v>
                </c:pt>
                <c:pt idx="54">
                  <c:v>2980.3652868033205</c:v>
                </c:pt>
                <c:pt idx="55">
                  <c:v>2988.6190827469673</c:v>
                </c:pt>
                <c:pt idx="56">
                  <c:v>2997.1864664707832</c:v>
                </c:pt>
                <c:pt idx="57">
                  <c:v>3006.0674379747684</c:v>
                </c:pt>
                <c:pt idx="58">
                  <c:v>3015.2619972589223</c:v>
                </c:pt>
                <c:pt idx="59">
                  <c:v>3024.7701443232449</c:v>
                </c:pt>
                <c:pt idx="60">
                  <c:v>3034.5918791677373</c:v>
                </c:pt>
                <c:pt idx="61">
                  <c:v>3044.7272017923983</c:v>
                </c:pt>
                <c:pt idx="62">
                  <c:v>3055.1761121972286</c:v>
                </c:pt>
                <c:pt idx="63">
                  <c:v>3065.9386103822276</c:v>
                </c:pt>
                <c:pt idx="64">
                  <c:v>3077.0146963473962</c:v>
                </c:pt>
                <c:pt idx="65">
                  <c:v>3088.4043700927332</c:v>
                </c:pt>
                <c:pt idx="66">
                  <c:v>3100.1076316182398</c:v>
                </c:pt>
                <c:pt idx="67">
                  <c:v>3112.1244809239151</c:v>
                </c:pt>
                <c:pt idx="68">
                  <c:v>3124.4549180097597</c:v>
                </c:pt>
                <c:pt idx="69">
                  <c:v>3137.098942875773</c:v>
                </c:pt>
                <c:pt idx="70">
                  <c:v>3150.0565555219555</c:v>
                </c:pt>
                <c:pt idx="71">
                  <c:v>3163.3277559483076</c:v>
                </c:pt>
                <c:pt idx="72">
                  <c:v>3176.9125441548281</c:v>
                </c:pt>
                <c:pt idx="73">
                  <c:v>3190.8109201415177</c:v>
                </c:pt>
                <c:pt idx="74">
                  <c:v>3205.0228839083766</c:v>
                </c:pt>
                <c:pt idx="75">
                  <c:v>3219.5484354554042</c:v>
                </c:pt>
                <c:pt idx="76">
                  <c:v>3234.387574782601</c:v>
                </c:pt>
                <c:pt idx="77">
                  <c:v>3249.5403018899674</c:v>
                </c:pt>
                <c:pt idx="78">
                  <c:v>3265.0066167775021</c:v>
                </c:pt>
                <c:pt idx="79">
                  <c:v>3280.7865194452056</c:v>
                </c:pt>
                <c:pt idx="80">
                  <c:v>3296.8800098930787</c:v>
                </c:pt>
                <c:pt idx="81">
                  <c:v>3313.2870881211206</c:v>
                </c:pt>
                <c:pt idx="82">
                  <c:v>3330.0077541293322</c:v>
                </c:pt>
                <c:pt idx="83">
                  <c:v>3347.042007917712</c:v>
                </c:pt>
                <c:pt idx="84">
                  <c:v>3364.389849486261</c:v>
                </c:pt>
                <c:pt idx="85">
                  <c:v>3382.0512788349797</c:v>
                </c:pt>
                <c:pt idx="86">
                  <c:v>3400.0262959638667</c:v>
                </c:pt>
                <c:pt idx="87">
                  <c:v>3418.3149008729229</c:v>
                </c:pt>
                <c:pt idx="88">
                  <c:v>3436.9170935621482</c:v>
                </c:pt>
                <c:pt idx="89">
                  <c:v>3455.8328740315428</c:v>
                </c:pt>
                <c:pt idx="90">
                  <c:v>3475.0622422811061</c:v>
                </c:pt>
                <c:pt idx="91">
                  <c:v>3494.6051983108391</c:v>
                </c:pt>
                <c:pt idx="92">
                  <c:v>3514.4617421207399</c:v>
                </c:pt>
                <c:pt idx="93">
                  <c:v>3534.6318737108109</c:v>
                </c:pt>
                <c:pt idx="94">
                  <c:v>3555.1155930810505</c:v>
                </c:pt>
                <c:pt idx="95">
                  <c:v>3575.9129002314594</c:v>
                </c:pt>
                <c:pt idx="96">
                  <c:v>3597.023795162037</c:v>
                </c:pt>
                <c:pt idx="97">
                  <c:v>3618.4482778727838</c:v>
                </c:pt>
                <c:pt idx="98">
                  <c:v>3640.1863483636994</c:v>
                </c:pt>
                <c:pt idx="99">
                  <c:v>3662.2380066347846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0AA-4293-ACB9-D113BD05E04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59877744"/>
        <c:axId val="1213121792"/>
      </c:scatterChart>
      <c:valAx>
        <c:axId val="17598777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Shell Pull Force [kN]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213121792"/>
        <c:crosses val="autoZero"/>
        <c:crossBetween val="midCat"/>
      </c:valAx>
      <c:valAx>
        <c:axId val="1213121792"/>
        <c:scaling>
          <c:orientation val="minMax"/>
          <c:min val="25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Bolt Axial Force</a:t>
                </a:r>
                <a:r>
                  <a:rPr lang="en-US" sz="1200" baseline="0"/>
                  <a:t> [kN]</a:t>
                </a:r>
                <a:endParaRPr lang="en-US" sz="12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7598777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NL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Gap120deg!$O$66:$DJ$66</c:f>
              <c:numCache>
                <c:formatCode>General</c:formatCode>
                <c:ptCount val="100"/>
                <c:pt idx="0">
                  <c:v>-845.10761972322143</c:v>
                </c:pt>
                <c:pt idx="1">
                  <c:v>-820.22712853514986</c:v>
                </c:pt>
                <c:pt idx="2">
                  <c:v>-795.3466373470784</c:v>
                </c:pt>
                <c:pt idx="3">
                  <c:v>-770.46614615900683</c:v>
                </c:pt>
                <c:pt idx="4">
                  <c:v>-745.58565497093548</c:v>
                </c:pt>
                <c:pt idx="5">
                  <c:v>-720.70516378286391</c:v>
                </c:pt>
                <c:pt idx="6">
                  <c:v>-695.82467259479245</c:v>
                </c:pt>
                <c:pt idx="7">
                  <c:v>-670.94418140672087</c:v>
                </c:pt>
                <c:pt idx="8">
                  <c:v>-646.06369021864941</c:v>
                </c:pt>
                <c:pt idx="9">
                  <c:v>-621.18319903057795</c:v>
                </c:pt>
                <c:pt idx="10">
                  <c:v>-596.30270784250649</c:v>
                </c:pt>
                <c:pt idx="11">
                  <c:v>-571.42221665443492</c:v>
                </c:pt>
                <c:pt idx="12">
                  <c:v>-546.54172546636335</c:v>
                </c:pt>
                <c:pt idx="13">
                  <c:v>-521.66123427829189</c:v>
                </c:pt>
                <c:pt idx="14">
                  <c:v>-496.78074309022043</c:v>
                </c:pt>
                <c:pt idx="15">
                  <c:v>-471.90025190214897</c:v>
                </c:pt>
                <c:pt idx="16">
                  <c:v>-447.01976071407745</c:v>
                </c:pt>
                <c:pt idx="17">
                  <c:v>-422.13926952600593</c:v>
                </c:pt>
                <c:pt idx="18">
                  <c:v>-397.25877833793447</c:v>
                </c:pt>
                <c:pt idx="19">
                  <c:v>-372.37828714986296</c:v>
                </c:pt>
                <c:pt idx="20">
                  <c:v>-347.4977959617915</c:v>
                </c:pt>
                <c:pt idx="21">
                  <c:v>-322.61730477371998</c:v>
                </c:pt>
                <c:pt idx="22">
                  <c:v>-297.73681358564841</c:v>
                </c:pt>
                <c:pt idx="23">
                  <c:v>-272.856322397577</c:v>
                </c:pt>
                <c:pt idx="24">
                  <c:v>-247.97583120950543</c:v>
                </c:pt>
                <c:pt idx="25">
                  <c:v>-223.095340021434</c:v>
                </c:pt>
                <c:pt idx="26">
                  <c:v>-198.21484883336245</c:v>
                </c:pt>
                <c:pt idx="27">
                  <c:v>-173.33435764529102</c:v>
                </c:pt>
                <c:pt idx="28">
                  <c:v>-148.45386645721948</c:v>
                </c:pt>
                <c:pt idx="29">
                  <c:v>-123.57337526914803</c:v>
                </c:pt>
                <c:pt idx="30">
                  <c:v>-98.692884081076485</c:v>
                </c:pt>
                <c:pt idx="31">
                  <c:v>-73.81239289300504</c:v>
                </c:pt>
                <c:pt idx="32">
                  <c:v>-48.931901704933495</c:v>
                </c:pt>
                <c:pt idx="33">
                  <c:v>-24.051410516861942</c:v>
                </c:pt>
                <c:pt idx="34">
                  <c:v>0.82908067120949269</c:v>
                </c:pt>
                <c:pt idx="35">
                  <c:v>25.709571859281045</c:v>
                </c:pt>
                <c:pt idx="36">
                  <c:v>50.59006304735248</c:v>
                </c:pt>
                <c:pt idx="37">
                  <c:v>75.470554235424032</c:v>
                </c:pt>
                <c:pt idx="38">
                  <c:v>100.35104542349546</c:v>
                </c:pt>
                <c:pt idx="39">
                  <c:v>125.23153661156702</c:v>
                </c:pt>
                <c:pt idx="40">
                  <c:v>150.11202779963844</c:v>
                </c:pt>
                <c:pt idx="41">
                  <c:v>174.99251898771001</c:v>
                </c:pt>
                <c:pt idx="42">
                  <c:v>199.87301017578145</c:v>
                </c:pt>
                <c:pt idx="43">
                  <c:v>224.75350136385288</c:v>
                </c:pt>
                <c:pt idx="44">
                  <c:v>249.63399255192454</c:v>
                </c:pt>
                <c:pt idx="45">
                  <c:v>274.51448373999597</c:v>
                </c:pt>
                <c:pt idx="46">
                  <c:v>299.39497492806743</c:v>
                </c:pt>
                <c:pt idx="47">
                  <c:v>324.27546611613883</c:v>
                </c:pt>
                <c:pt idx="48">
                  <c:v>349.15595730421052</c:v>
                </c:pt>
                <c:pt idx="49">
                  <c:v>374.03644849228198</c:v>
                </c:pt>
                <c:pt idx="50">
                  <c:v>398.91693968035338</c:v>
                </c:pt>
                <c:pt idx="51">
                  <c:v>423.79743086842507</c:v>
                </c:pt>
                <c:pt idx="52">
                  <c:v>448.67792205649647</c:v>
                </c:pt>
                <c:pt idx="53">
                  <c:v>473.55841324456793</c:v>
                </c:pt>
                <c:pt idx="54">
                  <c:v>498.43890443263939</c:v>
                </c:pt>
                <c:pt idx="55">
                  <c:v>523.31939562071102</c:v>
                </c:pt>
                <c:pt idx="56">
                  <c:v>548.19988680878248</c:v>
                </c:pt>
                <c:pt idx="57">
                  <c:v>573.08037799685394</c:v>
                </c:pt>
                <c:pt idx="58">
                  <c:v>597.96086918492529</c:v>
                </c:pt>
                <c:pt idx="59">
                  <c:v>622.84136037299697</c:v>
                </c:pt>
                <c:pt idx="60">
                  <c:v>647.72185156106843</c:v>
                </c:pt>
                <c:pt idx="61">
                  <c:v>672.60234274913989</c:v>
                </c:pt>
                <c:pt idx="62">
                  <c:v>697.48283393721135</c:v>
                </c:pt>
                <c:pt idx="63">
                  <c:v>722.36332512528293</c:v>
                </c:pt>
                <c:pt idx="64">
                  <c:v>747.24381631335439</c:v>
                </c:pt>
                <c:pt idx="65">
                  <c:v>772.12430750142585</c:v>
                </c:pt>
                <c:pt idx="66">
                  <c:v>797.00479868949753</c:v>
                </c:pt>
                <c:pt idx="67">
                  <c:v>821.88528987756899</c:v>
                </c:pt>
                <c:pt idx="68">
                  <c:v>846.76578106564034</c:v>
                </c:pt>
                <c:pt idx="69">
                  <c:v>871.6462722537118</c:v>
                </c:pt>
                <c:pt idx="70">
                  <c:v>896.52676344178349</c:v>
                </c:pt>
                <c:pt idx="71">
                  <c:v>921.40725462985495</c:v>
                </c:pt>
                <c:pt idx="72">
                  <c:v>946.28774581792641</c:v>
                </c:pt>
                <c:pt idx="73">
                  <c:v>971.16823700599775</c:v>
                </c:pt>
                <c:pt idx="74">
                  <c:v>996.04872819406944</c:v>
                </c:pt>
                <c:pt idx="75">
                  <c:v>1020.9292193821409</c:v>
                </c:pt>
                <c:pt idx="76">
                  <c:v>1045.8097105702122</c:v>
                </c:pt>
                <c:pt idx="77">
                  <c:v>1070.6902017582836</c:v>
                </c:pt>
                <c:pt idx="78">
                  <c:v>1095.5706929463554</c:v>
                </c:pt>
                <c:pt idx="79">
                  <c:v>1120.451184134427</c:v>
                </c:pt>
                <c:pt idx="80">
                  <c:v>1145.3316753224981</c:v>
                </c:pt>
                <c:pt idx="81">
                  <c:v>1170.2121665105699</c:v>
                </c:pt>
                <c:pt idx="82">
                  <c:v>1195.0926576986415</c:v>
                </c:pt>
                <c:pt idx="83">
                  <c:v>1219.9731488867128</c:v>
                </c:pt>
                <c:pt idx="84">
                  <c:v>1244.8536400747844</c:v>
                </c:pt>
                <c:pt idx="85">
                  <c:v>1269.7341312628562</c:v>
                </c:pt>
                <c:pt idx="86">
                  <c:v>1294.6146224509273</c:v>
                </c:pt>
                <c:pt idx="87">
                  <c:v>1319.4951136389989</c:v>
                </c:pt>
                <c:pt idx="88">
                  <c:v>1344.3756048270707</c:v>
                </c:pt>
                <c:pt idx="89">
                  <c:v>1369.2560960151418</c:v>
                </c:pt>
                <c:pt idx="90">
                  <c:v>1394.1365872032134</c:v>
                </c:pt>
                <c:pt idx="91">
                  <c:v>1419.0170783912852</c:v>
                </c:pt>
                <c:pt idx="92">
                  <c:v>1443.8975695793563</c:v>
                </c:pt>
                <c:pt idx="93">
                  <c:v>1468.7780607674281</c:v>
                </c:pt>
                <c:pt idx="94">
                  <c:v>1493.6585519554992</c:v>
                </c:pt>
                <c:pt idx="95">
                  <c:v>1518.5390431435708</c:v>
                </c:pt>
                <c:pt idx="96">
                  <c:v>1543.4195343316426</c:v>
                </c:pt>
                <c:pt idx="97">
                  <c:v>1568.3000255197137</c:v>
                </c:pt>
                <c:pt idx="98">
                  <c:v>1593.1805167077855</c:v>
                </c:pt>
                <c:pt idx="99">
                  <c:v>1618.0610078958568</c:v>
                </c:pt>
              </c:numCache>
            </c:numRef>
          </c:xVal>
          <c:yVal>
            <c:numRef>
              <c:f>Gap120deg!$O$68:$DJ$68</c:f>
              <c:numCache>
                <c:formatCode>General</c:formatCode>
                <c:ptCount val="100"/>
                <c:pt idx="0">
                  <c:v>-122.54407713670656</c:v>
                </c:pt>
                <c:pt idx="1">
                  <c:v>-122.54407713670656</c:v>
                </c:pt>
                <c:pt idx="2">
                  <c:v>-122.52616891440576</c:v>
                </c:pt>
                <c:pt idx="3">
                  <c:v>-122.31016349663844</c:v>
                </c:pt>
                <c:pt idx="4">
                  <c:v>-121.84940359579552</c:v>
                </c:pt>
                <c:pt idx="5">
                  <c:v>-121.14388921187705</c:v>
                </c:pt>
                <c:pt idx="6">
                  <c:v>-120.193620344883</c:v>
                </c:pt>
                <c:pt idx="7">
                  <c:v>-118.99859699481341</c:v>
                </c:pt>
                <c:pt idx="8">
                  <c:v>-117.55881916166823</c:v>
                </c:pt>
                <c:pt idx="9">
                  <c:v>-115.8742868454475</c:v>
                </c:pt>
                <c:pt idx="10">
                  <c:v>-113.94500004615119</c:v>
                </c:pt>
                <c:pt idx="11">
                  <c:v>-111.77095876377933</c:v>
                </c:pt>
                <c:pt idx="12">
                  <c:v>-109.35216299833188</c:v>
                </c:pt>
                <c:pt idx="13">
                  <c:v>-106.6886127498089</c:v>
                </c:pt>
                <c:pt idx="14">
                  <c:v>-103.78030801821032</c:v>
                </c:pt>
                <c:pt idx="15">
                  <c:v>-100.6272488035362</c:v>
                </c:pt>
                <c:pt idx="16">
                  <c:v>-97.229435105786507</c:v>
                </c:pt>
                <c:pt idx="17">
                  <c:v>-93.586866924961242</c:v>
                </c:pt>
                <c:pt idx="18">
                  <c:v>-89.699544261060424</c:v>
                </c:pt>
                <c:pt idx="19">
                  <c:v>-85.567467114084025</c:v>
                </c:pt>
                <c:pt idx="20">
                  <c:v>-81.190635484032057</c:v>
                </c:pt>
                <c:pt idx="21">
                  <c:v>-76.569049370904551</c:v>
                </c:pt>
                <c:pt idx="22">
                  <c:v>-71.702708774701463</c:v>
                </c:pt>
                <c:pt idx="23">
                  <c:v>-66.591613695422808</c:v>
                </c:pt>
                <c:pt idx="24">
                  <c:v>-61.235764133068585</c:v>
                </c:pt>
                <c:pt idx="25">
                  <c:v>-55.635160087638809</c:v>
                </c:pt>
                <c:pt idx="26">
                  <c:v>-49.789801559133451</c:v>
                </c:pt>
                <c:pt idx="27">
                  <c:v>-43.699688547552547</c:v>
                </c:pt>
                <c:pt idx="28">
                  <c:v>-37.364821052896055</c:v>
                </c:pt>
                <c:pt idx="29">
                  <c:v>-30.785199075164016</c:v>
                </c:pt>
                <c:pt idx="30">
                  <c:v>-23.598633357046793</c:v>
                </c:pt>
                <c:pt idx="31">
                  <c:v>-15.426295777136552</c:v>
                </c:pt>
                <c:pt idx="32">
                  <c:v>-6.2681388337985737</c:v>
                </c:pt>
                <c:pt idx="33">
                  <c:v>3.8758374729671079</c:v>
                </c:pt>
                <c:pt idx="34">
                  <c:v>15.00563314316044</c:v>
                </c:pt>
                <c:pt idx="35">
                  <c:v>27.121248176781528</c:v>
                </c:pt>
                <c:pt idx="36">
                  <c:v>40.222682573830248</c:v>
                </c:pt>
                <c:pt idx="37">
                  <c:v>54.309936334306741</c:v>
                </c:pt>
                <c:pt idx="38">
                  <c:v>69.383009458210864</c:v>
                </c:pt>
                <c:pt idx="39">
                  <c:v>85.441901945542753</c:v>
                </c:pt>
                <c:pt idx="40">
                  <c:v>102.48661379630227</c:v>
                </c:pt>
                <c:pt idx="41">
                  <c:v>120.51714501048954</c:v>
                </c:pt>
                <c:pt idx="42">
                  <c:v>139.53349558810444</c:v>
                </c:pt>
                <c:pt idx="43">
                  <c:v>159.53566552914705</c:v>
                </c:pt>
                <c:pt idx="44">
                  <c:v>180.52365483361757</c:v>
                </c:pt>
                <c:pt idx="45">
                  <c:v>202.49746350151554</c:v>
                </c:pt>
                <c:pt idx="46">
                  <c:v>225.45709153284125</c:v>
                </c:pt>
                <c:pt idx="47">
                  <c:v>249.40253892759463</c:v>
                </c:pt>
                <c:pt idx="48">
                  <c:v>274.33380568577593</c:v>
                </c:pt>
                <c:pt idx="49">
                  <c:v>300.25089180738473</c:v>
                </c:pt>
                <c:pt idx="50">
                  <c:v>327.15379729242125</c:v>
                </c:pt>
                <c:pt idx="51">
                  <c:v>355.04252214088569</c:v>
                </c:pt>
                <c:pt idx="52">
                  <c:v>383.91706635277751</c:v>
                </c:pt>
                <c:pt idx="53">
                  <c:v>413.77742992809709</c:v>
                </c:pt>
                <c:pt idx="54">
                  <c:v>444.62361286684438</c:v>
                </c:pt>
                <c:pt idx="55">
                  <c:v>476.45561516901961</c:v>
                </c:pt>
                <c:pt idx="56">
                  <c:v>509.27343683462226</c:v>
                </c:pt>
                <c:pt idx="57">
                  <c:v>543.07707786365268</c:v>
                </c:pt>
                <c:pt idx="58">
                  <c:v>577.86653825611074</c:v>
                </c:pt>
                <c:pt idx="59">
                  <c:v>613.64181801199686</c:v>
                </c:pt>
                <c:pt idx="60">
                  <c:v>650.40291713131035</c:v>
                </c:pt>
                <c:pt idx="61">
                  <c:v>688.14983561405154</c:v>
                </c:pt>
                <c:pt idx="62">
                  <c:v>726.88257346022033</c:v>
                </c:pt>
                <c:pt idx="63">
                  <c:v>766.60113066981728</c:v>
                </c:pt>
                <c:pt idx="64">
                  <c:v>807.3055072428416</c:v>
                </c:pt>
                <c:pt idx="65">
                  <c:v>848.99570317929329</c:v>
                </c:pt>
                <c:pt idx="66">
                  <c:v>891.67171847917336</c:v>
                </c:pt>
                <c:pt idx="67">
                  <c:v>935.3335531424807</c:v>
                </c:pt>
                <c:pt idx="68">
                  <c:v>979.98120716921574</c:v>
                </c:pt>
                <c:pt idx="69">
                  <c:v>1025.6146805593785</c:v>
                </c:pt>
                <c:pt idx="70">
                  <c:v>1072.2339733129695</c:v>
                </c:pt>
                <c:pt idx="71">
                  <c:v>1119.8390854299876</c:v>
                </c:pt>
                <c:pt idx="72">
                  <c:v>1168.4300169104333</c:v>
                </c:pt>
                <c:pt idx="73">
                  <c:v>1218.0067677543068</c:v>
                </c:pt>
                <c:pt idx="74">
                  <c:v>1268.5693379616084</c:v>
                </c:pt>
                <c:pt idx="75">
                  <c:v>1320.1177275323373</c:v>
                </c:pt>
                <c:pt idx="76">
                  <c:v>1372.6519364664939</c:v>
                </c:pt>
                <c:pt idx="77">
                  <c:v>1426.1719647640782</c:v>
                </c:pt>
                <c:pt idx="78">
                  <c:v>1480.6778124250907</c:v>
                </c:pt>
                <c:pt idx="79">
                  <c:v>1536.1694794495306</c:v>
                </c:pt>
                <c:pt idx="80">
                  <c:v>1592.6469658373978</c:v>
                </c:pt>
                <c:pt idx="81">
                  <c:v>1650.1102715886932</c:v>
                </c:pt>
                <c:pt idx="82">
                  <c:v>1708.5593967034165</c:v>
                </c:pt>
                <c:pt idx="83">
                  <c:v>1767.9943411815664</c:v>
                </c:pt>
                <c:pt idx="84">
                  <c:v>1828.4151050231453</c:v>
                </c:pt>
                <c:pt idx="85">
                  <c:v>1889.8216882281517</c:v>
                </c:pt>
                <c:pt idx="86">
                  <c:v>1952.2140907965847</c:v>
                </c:pt>
                <c:pt idx="87">
                  <c:v>2015.5923127284466</c:v>
                </c:pt>
                <c:pt idx="88">
                  <c:v>2079.9563540237359</c:v>
                </c:pt>
                <c:pt idx="89">
                  <c:v>2145.3062146824523</c:v>
                </c:pt>
                <c:pt idx="90">
                  <c:v>2211.6418947045972</c:v>
                </c:pt>
                <c:pt idx="91">
                  <c:v>2278.9633940901699</c:v>
                </c:pt>
                <c:pt idx="92">
                  <c:v>2347.2707128391689</c:v>
                </c:pt>
                <c:pt idx="93">
                  <c:v>2416.563850951597</c:v>
                </c:pt>
                <c:pt idx="94">
                  <c:v>2486.8428084274515</c:v>
                </c:pt>
                <c:pt idx="95">
                  <c:v>2558.107585266735</c:v>
                </c:pt>
                <c:pt idx="96">
                  <c:v>2630.3581814694467</c:v>
                </c:pt>
                <c:pt idx="97">
                  <c:v>2703.5945970355838</c:v>
                </c:pt>
                <c:pt idx="98">
                  <c:v>2777.8168319651504</c:v>
                </c:pt>
                <c:pt idx="99">
                  <c:v>2853.0248862581439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8AB-470F-9B83-1A6BFFDDED9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59877744"/>
        <c:axId val="1213121792"/>
      </c:scatterChart>
      <c:valAx>
        <c:axId val="17598777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Shell Pull Force [kN]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213121792"/>
        <c:crosses val="autoZero"/>
        <c:crossBetween val="midCat"/>
      </c:valAx>
      <c:valAx>
        <c:axId val="12131217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Bolt Bending Moment </a:t>
                </a:r>
                <a:r>
                  <a:rPr lang="en-US" sz="1200" baseline="0"/>
                  <a:t>[N·m]</a:t>
                </a:r>
                <a:endParaRPr lang="en-US" sz="12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7598777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NL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Gap120deg!$O$66:$DJ$66</c:f>
              <c:numCache>
                <c:formatCode>General</c:formatCode>
                <c:ptCount val="100"/>
                <c:pt idx="0">
                  <c:v>-845.10761972322143</c:v>
                </c:pt>
                <c:pt idx="1">
                  <c:v>-820.22712853514986</c:v>
                </c:pt>
                <c:pt idx="2">
                  <c:v>-795.3466373470784</c:v>
                </c:pt>
                <c:pt idx="3">
                  <c:v>-770.46614615900683</c:v>
                </c:pt>
                <c:pt idx="4">
                  <c:v>-745.58565497093548</c:v>
                </c:pt>
                <c:pt idx="5">
                  <c:v>-720.70516378286391</c:v>
                </c:pt>
                <c:pt idx="6">
                  <c:v>-695.82467259479245</c:v>
                </c:pt>
                <c:pt idx="7">
                  <c:v>-670.94418140672087</c:v>
                </c:pt>
                <c:pt idx="8">
                  <c:v>-646.06369021864941</c:v>
                </c:pt>
                <c:pt idx="9">
                  <c:v>-621.18319903057795</c:v>
                </c:pt>
                <c:pt idx="10">
                  <c:v>-596.30270784250649</c:v>
                </c:pt>
                <c:pt idx="11">
                  <c:v>-571.42221665443492</c:v>
                </c:pt>
                <c:pt idx="12">
                  <c:v>-546.54172546636335</c:v>
                </c:pt>
                <c:pt idx="13">
                  <c:v>-521.66123427829189</c:v>
                </c:pt>
                <c:pt idx="14">
                  <c:v>-496.78074309022043</c:v>
                </c:pt>
                <c:pt idx="15">
                  <c:v>-471.90025190214897</c:v>
                </c:pt>
                <c:pt idx="16">
                  <c:v>-447.01976071407745</c:v>
                </c:pt>
                <c:pt idx="17">
                  <c:v>-422.13926952600593</c:v>
                </c:pt>
                <c:pt idx="18">
                  <c:v>-397.25877833793447</c:v>
                </c:pt>
                <c:pt idx="19">
                  <c:v>-372.37828714986296</c:v>
                </c:pt>
                <c:pt idx="20">
                  <c:v>-347.4977959617915</c:v>
                </c:pt>
                <c:pt idx="21">
                  <c:v>-322.61730477371998</c:v>
                </c:pt>
                <c:pt idx="22">
                  <c:v>-297.73681358564841</c:v>
                </c:pt>
                <c:pt idx="23">
                  <c:v>-272.856322397577</c:v>
                </c:pt>
                <c:pt idx="24">
                  <c:v>-247.97583120950543</c:v>
                </c:pt>
                <c:pt idx="25">
                  <c:v>-223.095340021434</c:v>
                </c:pt>
                <c:pt idx="26">
                  <c:v>-198.21484883336245</c:v>
                </c:pt>
                <c:pt idx="27">
                  <c:v>-173.33435764529102</c:v>
                </c:pt>
                <c:pt idx="28">
                  <c:v>-148.45386645721948</c:v>
                </c:pt>
                <c:pt idx="29">
                  <c:v>-123.57337526914803</c:v>
                </c:pt>
                <c:pt idx="30">
                  <c:v>-98.692884081076485</c:v>
                </c:pt>
                <c:pt idx="31">
                  <c:v>-73.81239289300504</c:v>
                </c:pt>
                <c:pt idx="32">
                  <c:v>-48.931901704933495</c:v>
                </c:pt>
                <c:pt idx="33">
                  <c:v>-24.051410516861942</c:v>
                </c:pt>
                <c:pt idx="34">
                  <c:v>0.82908067120949269</c:v>
                </c:pt>
                <c:pt idx="35">
                  <c:v>25.709571859281045</c:v>
                </c:pt>
                <c:pt idx="36">
                  <c:v>50.59006304735248</c:v>
                </c:pt>
                <c:pt idx="37">
                  <c:v>75.470554235424032</c:v>
                </c:pt>
                <c:pt idx="38">
                  <c:v>100.35104542349546</c:v>
                </c:pt>
                <c:pt idx="39">
                  <c:v>125.23153661156702</c:v>
                </c:pt>
                <c:pt idx="40">
                  <c:v>150.11202779963844</c:v>
                </c:pt>
                <c:pt idx="41">
                  <c:v>174.99251898771001</c:v>
                </c:pt>
                <c:pt idx="42">
                  <c:v>199.87301017578145</c:v>
                </c:pt>
                <c:pt idx="43">
                  <c:v>224.75350136385288</c:v>
                </c:pt>
                <c:pt idx="44">
                  <c:v>249.63399255192454</c:v>
                </c:pt>
                <c:pt idx="45">
                  <c:v>274.51448373999597</c:v>
                </c:pt>
                <c:pt idx="46">
                  <c:v>299.39497492806743</c:v>
                </c:pt>
                <c:pt idx="47">
                  <c:v>324.27546611613883</c:v>
                </c:pt>
                <c:pt idx="48">
                  <c:v>349.15595730421052</c:v>
                </c:pt>
                <c:pt idx="49">
                  <c:v>374.03644849228198</c:v>
                </c:pt>
                <c:pt idx="50">
                  <c:v>398.91693968035338</c:v>
                </c:pt>
                <c:pt idx="51">
                  <c:v>423.79743086842507</c:v>
                </c:pt>
                <c:pt idx="52">
                  <c:v>448.67792205649647</c:v>
                </c:pt>
                <c:pt idx="53">
                  <c:v>473.55841324456793</c:v>
                </c:pt>
                <c:pt idx="54">
                  <c:v>498.43890443263939</c:v>
                </c:pt>
                <c:pt idx="55">
                  <c:v>523.31939562071102</c:v>
                </c:pt>
                <c:pt idx="56">
                  <c:v>548.19988680878248</c:v>
                </c:pt>
                <c:pt idx="57">
                  <c:v>573.08037799685394</c:v>
                </c:pt>
                <c:pt idx="58">
                  <c:v>597.96086918492529</c:v>
                </c:pt>
                <c:pt idx="59">
                  <c:v>622.84136037299697</c:v>
                </c:pt>
                <c:pt idx="60">
                  <c:v>647.72185156106843</c:v>
                </c:pt>
                <c:pt idx="61">
                  <c:v>672.60234274913989</c:v>
                </c:pt>
                <c:pt idx="62">
                  <c:v>697.48283393721135</c:v>
                </c:pt>
                <c:pt idx="63">
                  <c:v>722.36332512528293</c:v>
                </c:pt>
                <c:pt idx="64">
                  <c:v>747.24381631335439</c:v>
                </c:pt>
                <c:pt idx="65">
                  <c:v>772.12430750142585</c:v>
                </c:pt>
                <c:pt idx="66">
                  <c:v>797.00479868949753</c:v>
                </c:pt>
                <c:pt idx="67">
                  <c:v>821.88528987756899</c:v>
                </c:pt>
                <c:pt idx="68">
                  <c:v>846.76578106564034</c:v>
                </c:pt>
                <c:pt idx="69">
                  <c:v>871.6462722537118</c:v>
                </c:pt>
                <c:pt idx="70">
                  <c:v>896.52676344178349</c:v>
                </c:pt>
                <c:pt idx="71">
                  <c:v>921.40725462985495</c:v>
                </c:pt>
                <c:pt idx="72">
                  <c:v>946.28774581792641</c:v>
                </c:pt>
                <c:pt idx="73">
                  <c:v>971.16823700599775</c:v>
                </c:pt>
                <c:pt idx="74">
                  <c:v>996.04872819406944</c:v>
                </c:pt>
                <c:pt idx="75">
                  <c:v>1020.9292193821409</c:v>
                </c:pt>
                <c:pt idx="76">
                  <c:v>1045.8097105702122</c:v>
                </c:pt>
                <c:pt idx="77">
                  <c:v>1070.6902017582836</c:v>
                </c:pt>
                <c:pt idx="78">
                  <c:v>1095.5706929463554</c:v>
                </c:pt>
                <c:pt idx="79">
                  <c:v>1120.451184134427</c:v>
                </c:pt>
                <c:pt idx="80">
                  <c:v>1145.3316753224981</c:v>
                </c:pt>
                <c:pt idx="81">
                  <c:v>1170.2121665105699</c:v>
                </c:pt>
                <c:pt idx="82">
                  <c:v>1195.0926576986415</c:v>
                </c:pt>
                <c:pt idx="83">
                  <c:v>1219.9731488867128</c:v>
                </c:pt>
                <c:pt idx="84">
                  <c:v>1244.8536400747844</c:v>
                </c:pt>
                <c:pt idx="85">
                  <c:v>1269.7341312628562</c:v>
                </c:pt>
                <c:pt idx="86">
                  <c:v>1294.6146224509273</c:v>
                </c:pt>
                <c:pt idx="87">
                  <c:v>1319.4951136389989</c:v>
                </c:pt>
                <c:pt idx="88">
                  <c:v>1344.3756048270707</c:v>
                </c:pt>
                <c:pt idx="89">
                  <c:v>1369.2560960151418</c:v>
                </c:pt>
                <c:pt idx="90">
                  <c:v>1394.1365872032134</c:v>
                </c:pt>
                <c:pt idx="91">
                  <c:v>1419.0170783912852</c:v>
                </c:pt>
                <c:pt idx="92">
                  <c:v>1443.8975695793563</c:v>
                </c:pt>
                <c:pt idx="93">
                  <c:v>1468.7780607674281</c:v>
                </c:pt>
                <c:pt idx="94">
                  <c:v>1493.6585519554992</c:v>
                </c:pt>
                <c:pt idx="95">
                  <c:v>1518.5390431435708</c:v>
                </c:pt>
                <c:pt idx="96">
                  <c:v>1543.4195343316426</c:v>
                </c:pt>
                <c:pt idx="97">
                  <c:v>1568.3000255197137</c:v>
                </c:pt>
                <c:pt idx="98">
                  <c:v>1593.1805167077855</c:v>
                </c:pt>
                <c:pt idx="99">
                  <c:v>1618.0610078958568</c:v>
                </c:pt>
              </c:numCache>
            </c:numRef>
          </c:xVal>
          <c:yVal>
            <c:numRef>
              <c:f>Gap120deg!$O$67:$DJ$67</c:f>
              <c:numCache>
                <c:formatCode>General</c:formatCode>
                <c:ptCount val="100"/>
                <c:pt idx="0">
                  <c:v>2873.767947418442</c:v>
                </c:pt>
                <c:pt idx="1">
                  <c:v>2873.767947418442</c:v>
                </c:pt>
                <c:pt idx="2">
                  <c:v>2873.7683826794096</c:v>
                </c:pt>
                <c:pt idx="3">
                  <c:v>2873.7736327106772</c:v>
                </c:pt>
                <c:pt idx="4">
                  <c:v>2873.7848315218521</c:v>
                </c:pt>
                <c:pt idx="5">
                  <c:v>2873.8019791129345</c:v>
                </c:pt>
                <c:pt idx="6">
                  <c:v>2873.8250754839237</c:v>
                </c:pt>
                <c:pt idx="7">
                  <c:v>2873.8541206348204</c:v>
                </c:pt>
                <c:pt idx="8">
                  <c:v>2873.8891145656239</c:v>
                </c:pt>
                <c:pt idx="9">
                  <c:v>2873.930057276335</c:v>
                </c:pt>
                <c:pt idx="10">
                  <c:v>2873.9769487669532</c:v>
                </c:pt>
                <c:pt idx="11">
                  <c:v>2874.0297890374791</c:v>
                </c:pt>
                <c:pt idx="12">
                  <c:v>2874.0885780879121</c:v>
                </c:pt>
                <c:pt idx="13">
                  <c:v>2874.1533159182518</c:v>
                </c:pt>
                <c:pt idx="14">
                  <c:v>2874.2240025284996</c:v>
                </c:pt>
                <c:pt idx="15">
                  <c:v>2874.3006379186536</c:v>
                </c:pt>
                <c:pt idx="16">
                  <c:v>2874.3832220887152</c:v>
                </c:pt>
                <c:pt idx="17">
                  <c:v>2874.471755038684</c:v>
                </c:pt>
                <c:pt idx="18">
                  <c:v>2874.5662367685604</c:v>
                </c:pt>
                <c:pt idx="19">
                  <c:v>2874.666667278344</c:v>
                </c:pt>
                <c:pt idx="20">
                  <c:v>2874.7730465680343</c:v>
                </c:pt>
                <c:pt idx="21">
                  <c:v>2874.8853746376321</c:v>
                </c:pt>
                <c:pt idx="22">
                  <c:v>2875.0036514871372</c:v>
                </c:pt>
                <c:pt idx="23">
                  <c:v>2875.1278771165494</c:v>
                </c:pt>
                <c:pt idx="24">
                  <c:v>2875.2580515258687</c:v>
                </c:pt>
                <c:pt idx="25">
                  <c:v>2875.3941747150957</c:v>
                </c:pt>
                <c:pt idx="26">
                  <c:v>2875.5362466842294</c:v>
                </c:pt>
                <c:pt idx="27">
                  <c:v>2875.6842674332706</c:v>
                </c:pt>
                <c:pt idx="28">
                  <c:v>2875.8382369622191</c:v>
                </c:pt>
                <c:pt idx="29">
                  <c:v>2875.9981552710747</c:v>
                </c:pt>
                <c:pt idx="30">
                  <c:v>2876.3158030931095</c:v>
                </c:pt>
                <c:pt idx="31">
                  <c:v>2876.949933922223</c:v>
                </c:pt>
                <c:pt idx="32">
                  <c:v>2877.900567664673</c:v>
                </c:pt>
                <c:pt idx="33">
                  <c:v>2879.1677043204613</c:v>
                </c:pt>
                <c:pt idx="34">
                  <c:v>2880.7513438895871</c:v>
                </c:pt>
                <c:pt idx="35">
                  <c:v>2882.6514863720499</c:v>
                </c:pt>
                <c:pt idx="36">
                  <c:v>2884.8681317678502</c:v>
                </c:pt>
                <c:pt idx="37">
                  <c:v>2887.4012800769879</c:v>
                </c:pt>
                <c:pt idx="38">
                  <c:v>2890.2509312994634</c:v>
                </c:pt>
                <c:pt idx="39">
                  <c:v>2893.417085435276</c:v>
                </c:pt>
                <c:pt idx="40">
                  <c:v>2896.899742484426</c:v>
                </c:pt>
                <c:pt idx="41">
                  <c:v>2900.6989024469135</c:v>
                </c:pt>
                <c:pt idx="42">
                  <c:v>2904.8145653227384</c:v>
                </c:pt>
                <c:pt idx="43">
                  <c:v>2909.2467311119008</c:v>
                </c:pt>
                <c:pt idx="44">
                  <c:v>2913.995399814401</c:v>
                </c:pt>
                <c:pt idx="45">
                  <c:v>2919.0605714302378</c:v>
                </c:pt>
                <c:pt idx="46">
                  <c:v>2924.442245959413</c:v>
                </c:pt>
                <c:pt idx="47">
                  <c:v>2930.1404234019246</c:v>
                </c:pt>
                <c:pt idx="48">
                  <c:v>2936.1551037577742</c:v>
                </c:pt>
                <c:pt idx="49">
                  <c:v>2942.4862870269608</c:v>
                </c:pt>
                <c:pt idx="50">
                  <c:v>2949.1339732094852</c:v>
                </c:pt>
                <c:pt idx="51">
                  <c:v>2956.0981623053472</c:v>
                </c:pt>
                <c:pt idx="52">
                  <c:v>2963.3788543145461</c:v>
                </c:pt>
                <c:pt idx="53">
                  <c:v>2970.9760492370829</c:v>
                </c:pt>
                <c:pt idx="54">
                  <c:v>2978.8897470729571</c:v>
                </c:pt>
                <c:pt idx="55">
                  <c:v>2987.1199478221683</c:v>
                </c:pt>
                <c:pt idx="56">
                  <c:v>2995.666651484717</c:v>
                </c:pt>
                <c:pt idx="57">
                  <c:v>3004.5298580606036</c:v>
                </c:pt>
                <c:pt idx="58">
                  <c:v>3013.7095675498272</c:v>
                </c:pt>
                <c:pt idx="59">
                  <c:v>3023.2057799523882</c:v>
                </c:pt>
                <c:pt idx="60">
                  <c:v>3033.0184952682866</c:v>
                </c:pt>
                <c:pt idx="61">
                  <c:v>3043.1477134975225</c:v>
                </c:pt>
                <c:pt idx="62">
                  <c:v>3053.5934346400959</c:v>
                </c:pt>
                <c:pt idx="63">
                  <c:v>3064.3556586960071</c:v>
                </c:pt>
                <c:pt idx="64">
                  <c:v>3075.4343856652549</c:v>
                </c:pt>
                <c:pt idx="65">
                  <c:v>3086.8296155478411</c:v>
                </c:pt>
                <c:pt idx="66">
                  <c:v>3098.5413483437642</c:v>
                </c:pt>
                <c:pt idx="67">
                  <c:v>3110.5695840530248</c:v>
                </c:pt>
                <c:pt idx="68">
                  <c:v>3122.9143226756223</c:v>
                </c:pt>
                <c:pt idx="69">
                  <c:v>3135.5755642115578</c:v>
                </c:pt>
                <c:pt idx="70">
                  <c:v>3148.5533086608302</c:v>
                </c:pt>
                <c:pt idx="71">
                  <c:v>3161.8475560234406</c:v>
                </c:pt>
                <c:pt idx="72">
                  <c:v>3175.4583062993884</c:v>
                </c:pt>
                <c:pt idx="73">
                  <c:v>3189.3855594886732</c:v>
                </c:pt>
                <c:pt idx="74">
                  <c:v>3203.6293155912958</c:v>
                </c:pt>
                <c:pt idx="75">
                  <c:v>3218.189574607256</c:v>
                </c:pt>
                <c:pt idx="76">
                  <c:v>3233.0663365365531</c:v>
                </c:pt>
                <c:pt idx="77">
                  <c:v>3248.2596013791876</c:v>
                </c:pt>
                <c:pt idx="78">
                  <c:v>3263.7693691351601</c:v>
                </c:pt>
                <c:pt idx="79">
                  <c:v>3279.5956398044696</c:v>
                </c:pt>
                <c:pt idx="80">
                  <c:v>3295.7384133871165</c:v>
                </c:pt>
                <c:pt idx="81">
                  <c:v>3312.1976898831008</c:v>
                </c:pt>
                <c:pt idx="82">
                  <c:v>3328.9734692924226</c:v>
                </c:pt>
                <c:pt idx="83">
                  <c:v>3346.0657516150818</c:v>
                </c:pt>
                <c:pt idx="84">
                  <c:v>3363.4745368510789</c:v>
                </c:pt>
                <c:pt idx="85">
                  <c:v>3381.1998250004131</c:v>
                </c:pt>
                <c:pt idx="86">
                  <c:v>3399.2416160630846</c:v>
                </c:pt>
                <c:pt idx="87">
                  <c:v>3417.5999100390932</c:v>
                </c:pt>
                <c:pt idx="88">
                  <c:v>3436.2747069284405</c:v>
                </c:pt>
                <c:pt idx="89">
                  <c:v>3455.2660067311235</c:v>
                </c:pt>
                <c:pt idx="90">
                  <c:v>3474.5738094471449</c:v>
                </c:pt>
                <c:pt idx="91">
                  <c:v>3494.1981150765037</c:v>
                </c:pt>
                <c:pt idx="92">
                  <c:v>3514.1389236191994</c:v>
                </c:pt>
                <c:pt idx="93">
                  <c:v>3534.3962350752336</c:v>
                </c:pt>
                <c:pt idx="94">
                  <c:v>3554.9700494446038</c:v>
                </c:pt>
                <c:pt idx="95">
                  <c:v>3575.8603667273123</c:v>
                </c:pt>
                <c:pt idx="96">
                  <c:v>3597.0671869233588</c:v>
                </c:pt>
                <c:pt idx="97">
                  <c:v>3618.5905100327413</c:v>
                </c:pt>
                <c:pt idx="98">
                  <c:v>3640.4303360554622</c:v>
                </c:pt>
                <c:pt idx="99">
                  <c:v>3662.5866649915201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A2F-4431-A34D-A5F4DF9645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59877744"/>
        <c:axId val="1213121792"/>
      </c:scatterChart>
      <c:valAx>
        <c:axId val="17598777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Shell Pull Force [kN]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213121792"/>
        <c:crosses val="autoZero"/>
        <c:crossBetween val="midCat"/>
      </c:valAx>
      <c:valAx>
        <c:axId val="1213121792"/>
        <c:scaling>
          <c:orientation val="minMax"/>
          <c:min val="25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Bolt Axial Force</a:t>
                </a:r>
                <a:r>
                  <a:rPr lang="en-US" sz="1200" baseline="0"/>
                  <a:t> [kN]</a:t>
                </a:r>
                <a:endParaRPr lang="en-US" sz="12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7598777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NL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0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en-US" b="1"/>
              <a:t>Flange sketch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NL"/>
        </a:p>
      </c:txPr>
    </c:title>
    <c:autoTitleDeleted val="0"/>
    <c:plotArea>
      <c:layout>
        <c:manualLayout>
          <c:layoutTarget val="inner"/>
          <c:xMode val="edge"/>
          <c:yMode val="edge"/>
          <c:x val="8.6125687119298772E-2"/>
          <c:y val="8.2947213395298688E-2"/>
          <c:w val="0.86569175456841485"/>
          <c:h val="0.8365031845219757"/>
        </c:manualLayout>
      </c:layout>
      <c:scatterChart>
        <c:scatterStyle val="lineMarker"/>
        <c:varyColors val="0"/>
        <c:ser>
          <c:idx val="0"/>
          <c:order val="0"/>
          <c:tx>
            <c:v>154:B&amp;B Reference; Bolt: 120xM80 ISO; D=7500mm; a=232.5mm; b=166.5mm; s=72.0mm; s2=100.0mm; t=200.0mm; w=435.0mm; A=87000mm²</c:v>
          </c:tx>
          <c:spPr>
            <a:ln w="317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Lit>
              <c:formatCode>General</c:formatCode>
              <c:ptCount val="9"/>
              <c:pt idx="0">
                <c:v>36</c:v>
              </c:pt>
              <c:pt idx="1">
                <c:v>0</c:v>
              </c:pt>
              <c:pt idx="2">
                <c:v>0</c:v>
              </c:pt>
              <c:pt idx="3">
                <c:v>0</c:v>
              </c:pt>
              <c:pt idx="4">
                <c:v>435</c:v>
              </c:pt>
              <c:pt idx="5">
                <c:v>435</c:v>
              </c:pt>
              <c:pt idx="6">
                <c:v>72</c:v>
              </c:pt>
              <c:pt idx="7">
                <c:v>72</c:v>
              </c:pt>
              <c:pt idx="8">
                <c:v>36</c:v>
              </c:pt>
            </c:numLit>
          </c:xVal>
          <c:yVal>
            <c:numLit>
              <c:formatCode>General</c:formatCode>
              <c:ptCount val="9"/>
              <c:pt idx="0">
                <c:v>266</c:v>
              </c:pt>
              <c:pt idx="1">
                <c:v>230</c:v>
              </c:pt>
              <c:pt idx="2">
                <c:v>200</c:v>
              </c:pt>
              <c:pt idx="3">
                <c:v>0</c:v>
              </c:pt>
              <c:pt idx="4">
                <c:v>0</c:v>
              </c:pt>
              <c:pt idx="5">
                <c:v>200</c:v>
              </c:pt>
              <c:pt idx="6">
                <c:v>200</c:v>
              </c:pt>
              <c:pt idx="7">
                <c:v>230</c:v>
              </c:pt>
              <c:pt idx="8">
                <c:v>266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0-9572-491F-800F-94177882B13A}"/>
            </c:ext>
          </c:extLst>
        </c:ser>
        <c:ser>
          <c:idx val="1"/>
          <c:order val="1"/>
          <c:spPr>
            <a:ln w="19050" cap="rnd">
              <a:solidFill>
                <a:schemeClr val="accent1"/>
              </a:solidFill>
              <a:prstDash val="dash"/>
              <a:round/>
            </a:ln>
            <a:effectLst/>
          </c:spPr>
          <c:marker>
            <c:symbol val="none"/>
          </c:marker>
          <c:xVal>
            <c:numLit>
              <c:formatCode>General</c:formatCode>
              <c:ptCount val="2"/>
              <c:pt idx="0">
                <c:v>202.5</c:v>
              </c:pt>
              <c:pt idx="1">
                <c:v>202.5</c:v>
              </c:pt>
            </c:numLit>
          </c:xVal>
          <c:yVal>
            <c:numLit>
              <c:formatCode>General</c:formatCode>
              <c:ptCount val="2"/>
              <c:pt idx="0">
                <c:v>0</c:v>
              </c:pt>
              <c:pt idx="1">
                <c:v>266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1-9572-491F-800F-94177882B13A}"/>
            </c:ext>
          </c:extLst>
        </c:ser>
        <c:ser>
          <c:idx val="2"/>
          <c:order val="2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Lit>
              <c:formatCode>General</c:formatCode>
              <c:ptCount val="2"/>
              <c:pt idx="0">
                <c:v>162.5</c:v>
              </c:pt>
              <c:pt idx="1">
                <c:v>162.5</c:v>
              </c:pt>
            </c:numLit>
          </c:xVal>
          <c:yVal>
            <c:numLit>
              <c:formatCode>General</c:formatCode>
              <c:ptCount val="2"/>
              <c:pt idx="0">
                <c:v>0</c:v>
              </c:pt>
              <c:pt idx="1">
                <c:v>200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2-9572-491F-800F-94177882B13A}"/>
            </c:ext>
          </c:extLst>
        </c:ser>
        <c:ser>
          <c:idx val="3"/>
          <c:order val="3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Lit>
              <c:formatCode>General</c:formatCode>
              <c:ptCount val="2"/>
              <c:pt idx="0">
                <c:v>242.5</c:v>
              </c:pt>
              <c:pt idx="1">
                <c:v>242.5</c:v>
              </c:pt>
            </c:numLit>
          </c:xVal>
          <c:yVal>
            <c:numLit>
              <c:formatCode>General</c:formatCode>
              <c:ptCount val="2"/>
              <c:pt idx="0">
                <c:v>0</c:v>
              </c:pt>
              <c:pt idx="1">
                <c:v>200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3-9572-491F-800F-94177882B13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12628831"/>
        <c:axId val="1066567791"/>
      </c:scatterChart>
      <c:valAx>
        <c:axId val="812628831"/>
        <c:scaling>
          <c:orientation val="minMax"/>
          <c:max val="5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dash"/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prstDash val="dash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NL"/>
          </a:p>
        </c:txPr>
        <c:crossAx val="1066567791"/>
        <c:crosses val="autoZero"/>
        <c:crossBetween val="midCat"/>
      </c:valAx>
      <c:valAx>
        <c:axId val="1066567791"/>
        <c:scaling>
          <c:orientation val="minMax"/>
          <c:max val="5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dash"/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NL"/>
          </a:p>
        </c:txPr>
        <c:crossAx val="812628831"/>
        <c:crosses val="autoZero"/>
        <c:crossBetween val="midCat"/>
        <c:majorUnit val="100"/>
      </c:valAx>
      <c:spPr>
        <a:noFill/>
        <a:ln>
          <a:solidFill>
            <a:schemeClr val="tx1">
              <a:lumMod val="25000"/>
              <a:lumOff val="75000"/>
              <a:alpha val="94000"/>
            </a:schemeClr>
          </a:solidFill>
        </a:ln>
        <a:effectLst/>
      </c:spPr>
    </c:plotArea>
    <c:legend>
      <c:legendPos val="r"/>
      <c:legendEntry>
        <c:idx val="1"/>
        <c:delete val="1"/>
      </c:legendEntry>
      <c:legendEntry>
        <c:idx val="2"/>
        <c:delete val="1"/>
      </c:legendEntry>
      <c:legendEntry>
        <c:idx val="3"/>
        <c:delete val="1"/>
      </c:legendEntry>
      <c:layout>
        <c:manualLayout>
          <c:xMode val="edge"/>
          <c:yMode val="edge"/>
          <c:x val="0.233676700334503"/>
          <c:y val="0.11249602467439239"/>
          <c:w val="0.69184979353151832"/>
          <c:h val="0.24945713960806035"/>
        </c:manualLayout>
      </c:layout>
      <c:overlay val="0"/>
      <c:spPr>
        <a:solidFill>
          <a:srgbClr xmlns:mc="http://schemas.openxmlformats.org/markup-compatibility/2006" xmlns:a14="http://schemas.microsoft.com/office/drawing/2010/main" val="FFFFFF" mc:Ignorable="a14" a14:legacySpreadsheetColorIndex="9">
            <a:alpha val="50000"/>
          </a:srgbClr>
        </a:solidFill>
        <a:ln>
          <a:solidFill>
            <a:schemeClr val="tx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N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>
          <a:latin typeface="Arial" panose="020B0604020202020204" pitchFamily="34" charset="0"/>
          <a:cs typeface="Arial" panose="020B0604020202020204" pitchFamily="34" charset="0"/>
        </a:defRPr>
      </a:pPr>
      <a:endParaRPr lang="en-NL"/>
    </a:p>
  </c:txPr>
  <c:printSettings>
    <c:headerFooter/>
    <c:pageMargins b="0.78740157499999996" l="0.7" r="0.7" t="0.78740157499999996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trlProps/ctrlProp1.xml><?xml version="1.0" encoding="utf-8"?>
<formControlPr xmlns="http://schemas.microsoft.com/office/spreadsheetml/2009/9/main" objectType="Button" lockText="1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.xml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chart" Target="../charts/chart2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chart" Target="../charts/chart4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5.xml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chart" Target="../charts/chart6.xm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7.xml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chart" Target="../charts/chart8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133351</xdr:colOff>
      <xdr:row>0</xdr:row>
      <xdr:rowOff>19050</xdr:rowOff>
    </xdr:from>
    <xdr:ext cx="314324" cy="211904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3351" y="19050"/>
          <a:ext cx="314324" cy="211904"/>
        </a:xfrm>
        <a:prstGeom prst="rect">
          <a:avLst/>
        </a:prstGeom>
      </xdr:spPr>
    </xdr:pic>
    <xdr:clientData/>
  </xdr:oneCellAnchor>
  <xdr:twoCellAnchor>
    <xdr:from>
      <xdr:col>4</xdr:col>
      <xdr:colOff>600076</xdr:colOff>
      <xdr:row>22</xdr:row>
      <xdr:rowOff>28575</xdr:rowOff>
    </xdr:from>
    <xdr:to>
      <xdr:col>7</xdr:col>
      <xdr:colOff>72960</xdr:colOff>
      <xdr:row>32</xdr:row>
      <xdr:rowOff>219075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190876" y="1524000"/>
          <a:ext cx="1415984" cy="2667000"/>
        </a:xfrm>
        <a:prstGeom prst="rect">
          <a:avLst/>
        </a:prstGeom>
      </xdr:spPr>
    </xdr:pic>
    <xdr:clientData/>
  </xdr:twoCellAnchor>
  <xdr:twoCellAnchor>
    <xdr:from>
      <xdr:col>1</xdr:col>
      <xdr:colOff>133350</xdr:colOff>
      <xdr:row>95</xdr:row>
      <xdr:rowOff>57150</xdr:rowOff>
    </xdr:from>
    <xdr:to>
      <xdr:col>10</xdr:col>
      <xdr:colOff>533400</xdr:colOff>
      <xdr:row>109</xdr:row>
      <xdr:rowOff>200025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123825</xdr:colOff>
      <xdr:row>65</xdr:row>
      <xdr:rowOff>47625</xdr:rowOff>
    </xdr:from>
    <xdr:to>
      <xdr:col>10</xdr:col>
      <xdr:colOff>523875</xdr:colOff>
      <xdr:row>79</xdr:row>
      <xdr:rowOff>190500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133351</xdr:colOff>
      <xdr:row>0</xdr:row>
      <xdr:rowOff>19050</xdr:rowOff>
    </xdr:from>
    <xdr:ext cx="314324" cy="211904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3351" y="19050"/>
          <a:ext cx="314324" cy="211904"/>
        </a:xfrm>
        <a:prstGeom prst="rect">
          <a:avLst/>
        </a:prstGeom>
      </xdr:spPr>
    </xdr:pic>
    <xdr:clientData/>
  </xdr:oneCellAnchor>
  <xdr:twoCellAnchor>
    <xdr:from>
      <xdr:col>4</xdr:col>
      <xdr:colOff>600076</xdr:colOff>
      <xdr:row>22</xdr:row>
      <xdr:rowOff>28575</xdr:rowOff>
    </xdr:from>
    <xdr:to>
      <xdr:col>7</xdr:col>
      <xdr:colOff>72960</xdr:colOff>
      <xdr:row>32</xdr:row>
      <xdr:rowOff>219075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190876" y="3505200"/>
          <a:ext cx="1415984" cy="2667000"/>
        </a:xfrm>
        <a:prstGeom prst="rect">
          <a:avLst/>
        </a:prstGeom>
      </xdr:spPr>
    </xdr:pic>
    <xdr:clientData/>
  </xdr:twoCellAnchor>
  <xdr:twoCellAnchor>
    <xdr:from>
      <xdr:col>1</xdr:col>
      <xdr:colOff>133350</xdr:colOff>
      <xdr:row>95</xdr:row>
      <xdr:rowOff>57150</xdr:rowOff>
    </xdr:from>
    <xdr:to>
      <xdr:col>10</xdr:col>
      <xdr:colOff>533400</xdr:colOff>
      <xdr:row>109</xdr:row>
      <xdr:rowOff>200025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123825</xdr:colOff>
      <xdr:row>65</xdr:row>
      <xdr:rowOff>47625</xdr:rowOff>
    </xdr:from>
    <xdr:to>
      <xdr:col>10</xdr:col>
      <xdr:colOff>523875</xdr:colOff>
      <xdr:row>79</xdr:row>
      <xdr:rowOff>190500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133351</xdr:colOff>
      <xdr:row>0</xdr:row>
      <xdr:rowOff>19050</xdr:rowOff>
    </xdr:from>
    <xdr:ext cx="314324" cy="211904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3351" y="19050"/>
          <a:ext cx="314324" cy="211904"/>
        </a:xfrm>
        <a:prstGeom prst="rect">
          <a:avLst/>
        </a:prstGeom>
      </xdr:spPr>
    </xdr:pic>
    <xdr:clientData/>
  </xdr:oneCellAnchor>
  <xdr:twoCellAnchor>
    <xdr:from>
      <xdr:col>4</xdr:col>
      <xdr:colOff>600076</xdr:colOff>
      <xdr:row>22</xdr:row>
      <xdr:rowOff>28575</xdr:rowOff>
    </xdr:from>
    <xdr:to>
      <xdr:col>7</xdr:col>
      <xdr:colOff>72960</xdr:colOff>
      <xdr:row>32</xdr:row>
      <xdr:rowOff>219075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190876" y="3505200"/>
          <a:ext cx="1415984" cy="2667000"/>
        </a:xfrm>
        <a:prstGeom prst="rect">
          <a:avLst/>
        </a:prstGeom>
      </xdr:spPr>
    </xdr:pic>
    <xdr:clientData/>
  </xdr:twoCellAnchor>
  <xdr:twoCellAnchor>
    <xdr:from>
      <xdr:col>1</xdr:col>
      <xdr:colOff>133350</xdr:colOff>
      <xdr:row>95</xdr:row>
      <xdr:rowOff>57150</xdr:rowOff>
    </xdr:from>
    <xdr:to>
      <xdr:col>10</xdr:col>
      <xdr:colOff>533400</xdr:colOff>
      <xdr:row>109</xdr:row>
      <xdr:rowOff>200025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123825</xdr:colOff>
      <xdr:row>65</xdr:row>
      <xdr:rowOff>47625</xdr:rowOff>
    </xdr:from>
    <xdr:to>
      <xdr:col>10</xdr:col>
      <xdr:colOff>523875</xdr:colOff>
      <xdr:row>79</xdr:row>
      <xdr:rowOff>190500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133351</xdr:colOff>
      <xdr:row>0</xdr:row>
      <xdr:rowOff>19050</xdr:rowOff>
    </xdr:from>
    <xdr:ext cx="314324" cy="211904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3351" y="19050"/>
          <a:ext cx="314324" cy="211904"/>
        </a:xfrm>
        <a:prstGeom prst="rect">
          <a:avLst/>
        </a:prstGeom>
      </xdr:spPr>
    </xdr:pic>
    <xdr:clientData/>
  </xdr:oneCellAnchor>
  <xdr:twoCellAnchor>
    <xdr:from>
      <xdr:col>4</xdr:col>
      <xdr:colOff>600076</xdr:colOff>
      <xdr:row>22</xdr:row>
      <xdr:rowOff>28575</xdr:rowOff>
    </xdr:from>
    <xdr:to>
      <xdr:col>7</xdr:col>
      <xdr:colOff>72960</xdr:colOff>
      <xdr:row>32</xdr:row>
      <xdr:rowOff>219075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190876" y="3505200"/>
          <a:ext cx="1415984" cy="2667000"/>
        </a:xfrm>
        <a:prstGeom prst="rect">
          <a:avLst/>
        </a:prstGeom>
      </xdr:spPr>
    </xdr:pic>
    <xdr:clientData/>
  </xdr:twoCellAnchor>
  <xdr:twoCellAnchor>
    <xdr:from>
      <xdr:col>1</xdr:col>
      <xdr:colOff>133350</xdr:colOff>
      <xdr:row>95</xdr:row>
      <xdr:rowOff>57150</xdr:rowOff>
    </xdr:from>
    <xdr:to>
      <xdr:col>10</xdr:col>
      <xdr:colOff>533400</xdr:colOff>
      <xdr:row>109</xdr:row>
      <xdr:rowOff>200025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3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123825</xdr:colOff>
      <xdr:row>65</xdr:row>
      <xdr:rowOff>47625</xdr:rowOff>
    </xdr:from>
    <xdr:to>
      <xdr:col>10</xdr:col>
      <xdr:colOff>523875</xdr:colOff>
      <xdr:row>79</xdr:row>
      <xdr:rowOff>190500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3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13</xdr:col>
          <xdr:colOff>99060</xdr:colOff>
          <xdr:row>2</xdr:row>
          <xdr:rowOff>152400</xdr:rowOff>
        </xdr:from>
        <xdr:to>
          <xdr:col>15</xdr:col>
          <xdr:colOff>335280</xdr:colOff>
          <xdr:row>6</xdr:row>
          <xdr:rowOff>60960</xdr:rowOff>
        </xdr:to>
        <xdr:sp macro="" textlink="">
          <xdr:nvSpPr>
            <xdr:cNvPr id="6145" name="Button 1" hidden="1">
              <a:extLst>
                <a:ext uri="{63B3BB69-23CF-44E3-9099-C40C66FF867C}">
                  <a14:compatExt spid="_x0000_s6145"/>
                </a:ext>
                <a:ext uri="{FF2B5EF4-FFF2-40B4-BE49-F238E27FC236}">
                  <a16:creationId xmlns:a16="http://schemas.microsoft.com/office/drawing/2014/main" id="{00000000-0008-0000-0400-000001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NL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Design values</a:t>
              </a:r>
            </a:p>
          </xdr:txBody>
        </xdr:sp>
        <xdr:clientData fPrintsWithSheet="0"/>
      </xdr:twoCellAnchor>
    </mc:Choice>
    <mc:Fallback/>
  </mc:AlternateContent>
  <xdr:twoCellAnchor>
    <xdr:from>
      <xdr:col>2</xdr:col>
      <xdr:colOff>287768</xdr:colOff>
      <xdr:row>3</xdr:row>
      <xdr:rowOff>63425</xdr:rowOff>
    </xdr:from>
    <xdr:to>
      <xdr:col>5</xdr:col>
      <xdr:colOff>714376</xdr:colOff>
      <xdr:row>23</xdr:row>
      <xdr:rowOff>114096</xdr:rowOff>
    </xdr:to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5.vml"/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Relationship Id="rId4" Type="http://schemas.openxmlformats.org/officeDocument/2006/relationships/ctrlProp" Target="..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B0752E-498B-4229-89D4-250497F09F47}">
  <sheetPr codeName="Sheet1">
    <pageSetUpPr fitToPage="1"/>
  </sheetPr>
  <dimension ref="A1:DJ180"/>
  <sheetViews>
    <sheetView showGridLines="0" zoomScaleNormal="100" workbookViewId="0">
      <pane ySplit="1" topLeftCell="A63" activePane="bottomLeft" state="frozen"/>
      <selection pane="bottomLeft" activeCell="J115" sqref="J115"/>
    </sheetView>
  </sheetViews>
  <sheetFormatPr defaultColWidth="8.6640625" defaultRowHeight="20.100000000000001" customHeight="1" outlineLevelRow="1"/>
  <cols>
    <col min="1" max="11" width="9.6640625" style="2" customWidth="1"/>
    <col min="12" max="12" width="2.6640625" style="1" customWidth="1"/>
    <col min="13" max="13" width="6.6640625" style="1" customWidth="1"/>
    <col min="14" max="19" width="8.6640625" style="1" customWidth="1"/>
    <col min="20" max="16384" width="8.6640625" style="1"/>
  </cols>
  <sheetData>
    <row r="1" spans="1:15" s="52" customFormat="1" ht="20.100000000000001" customHeight="1">
      <c r="A1" s="57"/>
      <c r="B1" s="56" t="s">
        <v>20</v>
      </c>
      <c r="C1" s="56"/>
      <c r="D1" s="56"/>
      <c r="E1" s="56"/>
      <c r="F1" s="56"/>
      <c r="G1" s="56"/>
      <c r="H1" s="55"/>
      <c r="I1" s="55"/>
      <c r="J1" s="54" t="s">
        <v>19</v>
      </c>
      <c r="K1" s="53" t="s">
        <v>18</v>
      </c>
    </row>
    <row r="2" spans="1:15" ht="20.100000000000001" hidden="1" customHeight="1" outlineLevel="1">
      <c r="A2" s="51"/>
      <c r="B2" s="51"/>
      <c r="C2" s="1"/>
      <c r="D2" s="50"/>
      <c r="E2" s="50"/>
      <c r="F2" s="50"/>
      <c r="G2" s="50"/>
      <c r="H2" s="50"/>
      <c r="I2" s="50"/>
      <c r="J2" s="49"/>
      <c r="K2" s="48"/>
    </row>
    <row r="3" spans="1:15" ht="54.75" hidden="1" customHeight="1" outlineLevel="1">
      <c r="A3" s="162" t="s">
        <v>17</v>
      </c>
      <c r="B3" s="163"/>
      <c r="C3" s="163"/>
      <c r="D3" s="163"/>
      <c r="E3" s="163"/>
      <c r="F3" s="163"/>
      <c r="G3" s="163"/>
      <c r="H3" s="163"/>
      <c r="I3" s="163"/>
      <c r="J3" s="163"/>
      <c r="K3" s="163"/>
    </row>
    <row r="4" spans="1:15" s="46" customFormat="1" ht="20.100000000000001" hidden="1" customHeight="1" outlineLevel="1">
      <c r="A4" s="47" t="s">
        <v>16</v>
      </c>
      <c r="B4" s="164" t="s">
        <v>15</v>
      </c>
      <c r="C4" s="164"/>
      <c r="D4" s="164"/>
      <c r="E4" s="164"/>
      <c r="F4" s="164"/>
      <c r="G4" s="164"/>
      <c r="H4" s="47" t="s">
        <v>14</v>
      </c>
      <c r="I4" s="47" t="s">
        <v>13</v>
      </c>
      <c r="J4" s="47" t="s">
        <v>12</v>
      </c>
      <c r="K4" s="47" t="s">
        <v>11</v>
      </c>
    </row>
    <row r="5" spans="1:15" s="41" customFormat="1" ht="20.100000000000001" hidden="1" customHeight="1" outlineLevel="1">
      <c r="A5" s="45"/>
      <c r="B5" s="156"/>
      <c r="C5" s="157"/>
      <c r="D5" s="157"/>
      <c r="E5" s="157"/>
      <c r="F5" s="157"/>
      <c r="G5" s="158"/>
      <c r="H5" s="44"/>
      <c r="I5" s="43"/>
      <c r="J5" s="43"/>
      <c r="K5" s="42"/>
    </row>
    <row r="6" spans="1:15" s="41" customFormat="1" ht="20.100000000000001" hidden="1" customHeight="1" outlineLevel="1">
      <c r="A6" s="45"/>
      <c r="B6" s="156"/>
      <c r="C6" s="157"/>
      <c r="D6" s="157"/>
      <c r="E6" s="157"/>
      <c r="F6" s="157"/>
      <c r="G6" s="158"/>
      <c r="H6" s="44"/>
      <c r="I6" s="43"/>
      <c r="J6" s="43"/>
      <c r="K6" s="42"/>
    </row>
    <row r="7" spans="1:15" s="41" customFormat="1" ht="20.100000000000001" hidden="1" customHeight="1" outlineLevel="1">
      <c r="A7" s="45"/>
      <c r="B7" s="156"/>
      <c r="C7" s="157"/>
      <c r="D7" s="157"/>
      <c r="E7" s="157"/>
      <c r="F7" s="157"/>
      <c r="G7" s="158"/>
      <c r="H7" s="44"/>
      <c r="I7" s="43"/>
      <c r="J7" s="43"/>
      <c r="K7" s="42"/>
    </row>
    <row r="8" spans="1:15" s="41" customFormat="1" ht="20.100000000000001" hidden="1" customHeight="1" outlineLevel="1">
      <c r="A8" s="45"/>
      <c r="B8" s="156"/>
      <c r="C8" s="157"/>
      <c r="D8" s="157"/>
      <c r="E8" s="157"/>
      <c r="F8" s="157"/>
      <c r="G8" s="158"/>
      <c r="H8" s="44"/>
      <c r="I8" s="43"/>
      <c r="J8" s="43"/>
      <c r="K8" s="42"/>
    </row>
    <row r="9" spans="1:15" s="41" customFormat="1" ht="20.100000000000001" hidden="1" customHeight="1" outlineLevel="1">
      <c r="A9" s="45"/>
      <c r="B9" s="156"/>
      <c r="C9" s="157"/>
      <c r="D9" s="157"/>
      <c r="E9" s="157"/>
      <c r="F9" s="157"/>
      <c r="G9" s="158"/>
      <c r="H9" s="44"/>
      <c r="I9" s="43"/>
      <c r="J9" s="43"/>
      <c r="K9" s="42"/>
    </row>
    <row r="10" spans="1:15" ht="20.100000000000001" hidden="1" customHeight="1" outlineLevel="1">
      <c r="B10" s="40"/>
      <c r="J10" s="39"/>
      <c r="K10" s="38"/>
    </row>
    <row r="11" spans="1:15" s="34" customFormat="1" ht="39.9" customHeight="1" collapsed="1" thickBot="1">
      <c r="A11" s="37" t="s">
        <v>0</v>
      </c>
      <c r="B11" s="37" t="s">
        <v>30</v>
      </c>
      <c r="C11" s="37"/>
      <c r="D11" s="37"/>
      <c r="E11" s="37"/>
      <c r="F11" s="37"/>
      <c r="G11" s="37"/>
      <c r="H11" s="37"/>
      <c r="I11" s="37"/>
      <c r="J11" s="37"/>
      <c r="K11" s="36"/>
      <c r="L11" s="35"/>
      <c r="M11" s="25"/>
      <c r="N11" s="25"/>
      <c r="O11" s="25"/>
    </row>
    <row r="12" spans="1:15" ht="20.100000000000001" customHeight="1" thickTop="1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3"/>
    </row>
    <row r="13" spans="1:15" s="85" customFormat="1" ht="20.100000000000001" customHeight="1" outlineLevel="1">
      <c r="A13" s="87"/>
      <c r="B13" s="159" t="s">
        <v>102</v>
      </c>
      <c r="C13" s="159"/>
      <c r="D13" s="161" t="s">
        <v>103</v>
      </c>
      <c r="E13" s="161"/>
      <c r="F13" s="161"/>
      <c r="G13" s="161"/>
      <c r="H13" s="161"/>
      <c r="I13" s="161"/>
      <c r="J13" s="161"/>
      <c r="K13" s="161"/>
      <c r="L13" s="86"/>
    </row>
    <row r="14" spans="1:15" s="85" customFormat="1" ht="20.100000000000001" customHeight="1" outlineLevel="1">
      <c r="A14" s="87"/>
      <c r="B14" s="159" t="s">
        <v>101</v>
      </c>
      <c r="C14" s="159"/>
      <c r="D14" s="161" t="s">
        <v>105</v>
      </c>
      <c r="E14" s="161"/>
      <c r="F14" s="161"/>
      <c r="G14" s="161"/>
      <c r="H14" s="161"/>
      <c r="I14" s="161"/>
      <c r="J14" s="161"/>
      <c r="K14" s="161"/>
      <c r="L14" s="86"/>
    </row>
    <row r="15" spans="1:15" s="85" customFormat="1" ht="20.100000000000001" customHeight="1" outlineLevel="1">
      <c r="A15" s="87"/>
      <c r="B15" s="159" t="s">
        <v>100</v>
      </c>
      <c r="C15" s="159"/>
      <c r="D15" s="161" t="s">
        <v>104</v>
      </c>
      <c r="E15" s="161"/>
      <c r="F15" s="161"/>
      <c r="G15" s="161"/>
      <c r="H15" s="161"/>
      <c r="I15" s="161"/>
      <c r="J15" s="161"/>
      <c r="K15" s="161"/>
      <c r="L15" s="86"/>
    </row>
    <row r="16" spans="1:15" s="85" customFormat="1" ht="20.100000000000001" customHeight="1" outlineLevel="1">
      <c r="A16" s="87"/>
      <c r="B16" s="159" t="s">
        <v>99</v>
      </c>
      <c r="C16" s="159"/>
      <c r="D16" s="161" t="str">
        <f>Title</f>
        <v>Flange Segment Analytical Model for 30° gap size</v>
      </c>
      <c r="E16" s="161"/>
      <c r="F16" s="161"/>
      <c r="G16" s="161"/>
      <c r="H16" s="161"/>
      <c r="I16" s="161"/>
      <c r="J16" s="161"/>
      <c r="K16" s="161"/>
      <c r="L16" s="86"/>
      <c r="M16" s="88"/>
    </row>
    <row r="17" spans="1:22" s="85" customFormat="1" ht="20.100000000000001" customHeight="1" outlineLevel="1">
      <c r="A17" s="87"/>
      <c r="B17" s="159" t="s">
        <v>98</v>
      </c>
      <c r="C17" s="159"/>
      <c r="D17" s="165" t="s">
        <v>328</v>
      </c>
      <c r="E17" s="161"/>
      <c r="F17" s="161"/>
      <c r="G17" s="161"/>
      <c r="H17" s="161"/>
      <c r="I17" s="161"/>
      <c r="J17" s="161"/>
      <c r="K17" s="161"/>
      <c r="L17" s="86"/>
    </row>
    <row r="18" spans="1:22" s="85" customFormat="1" ht="20.100000000000001" customHeight="1" outlineLevel="1">
      <c r="A18" s="87"/>
      <c r="B18" s="159" t="s">
        <v>97</v>
      </c>
      <c r="C18" s="159"/>
      <c r="D18" s="160">
        <v>45432</v>
      </c>
      <c r="E18" s="160"/>
      <c r="F18" s="160"/>
      <c r="G18" s="160"/>
      <c r="H18" s="160"/>
      <c r="I18" s="160"/>
      <c r="J18" s="160"/>
      <c r="K18" s="160"/>
      <c r="L18" s="86"/>
    </row>
    <row r="19" spans="1:22" s="85" customFormat="1" ht="20.100000000000001" customHeight="1" outlineLevel="1">
      <c r="A19" s="87"/>
      <c r="B19" s="87"/>
      <c r="C19" s="87"/>
      <c r="D19" s="87"/>
      <c r="E19" s="87"/>
      <c r="F19" s="87"/>
      <c r="G19" s="87"/>
      <c r="H19" s="87"/>
      <c r="I19" s="87"/>
      <c r="J19" s="87"/>
      <c r="K19" s="87"/>
      <c r="L19" s="86"/>
    </row>
    <row r="20" spans="1:22" s="85" customFormat="1" ht="20.100000000000001" customHeight="1">
      <c r="A20" s="87"/>
      <c r="B20" s="87"/>
      <c r="C20" s="87"/>
      <c r="D20" s="87"/>
      <c r="E20" s="87"/>
      <c r="F20" s="87"/>
      <c r="G20" s="87"/>
      <c r="H20" s="87"/>
      <c r="I20" s="87"/>
      <c r="J20" s="87"/>
      <c r="K20" s="87"/>
      <c r="L20" s="86"/>
    </row>
    <row r="21" spans="1:22" ht="20.100000000000001" customHeight="1" thickBot="1">
      <c r="A21" s="14" t="str">
        <f>$A$11&amp;"."&amp;1</f>
        <v>A.1</v>
      </c>
      <c r="B21" s="14" t="s">
        <v>21</v>
      </c>
      <c r="C21" s="14"/>
      <c r="D21" s="14"/>
      <c r="E21" s="14"/>
      <c r="F21" s="14"/>
      <c r="G21" s="14"/>
      <c r="H21" s="14"/>
      <c r="I21" s="14"/>
      <c r="J21" s="14"/>
      <c r="K21" s="14"/>
      <c r="L21" s="3"/>
    </row>
    <row r="22" spans="1:22" ht="20.100000000000001" customHeight="1" outlineLevel="1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3"/>
    </row>
    <row r="23" spans="1:22" s="18" customFormat="1" ht="20.100000000000001" customHeight="1" outlineLevel="1">
      <c r="A23" s="21"/>
      <c r="B23" s="28"/>
      <c r="C23" s="27"/>
      <c r="D23" s="27"/>
      <c r="E23" s="27"/>
      <c r="F23" s="27"/>
      <c r="G23" s="27"/>
      <c r="H23" s="27"/>
      <c r="I23" s="27"/>
      <c r="J23" s="27"/>
      <c r="K23" s="26"/>
      <c r="L23" s="20"/>
      <c r="M23" s="25" t="s">
        <v>10</v>
      </c>
      <c r="N23" s="25"/>
      <c r="O23" s="25"/>
      <c r="P23" s="25"/>
      <c r="Q23" s="25"/>
      <c r="R23" s="25"/>
      <c r="S23" s="25"/>
      <c r="T23" s="25"/>
      <c r="U23" s="25"/>
      <c r="V23" s="25"/>
    </row>
    <row r="24" spans="1:22" s="18" customFormat="1" ht="20.100000000000001" customHeight="1" outlineLevel="1">
      <c r="A24" s="21"/>
      <c r="B24" s="24"/>
      <c r="C24" s="23"/>
      <c r="D24" s="23"/>
      <c r="E24" s="23"/>
      <c r="F24" s="23"/>
      <c r="G24" s="23"/>
      <c r="H24" s="23"/>
      <c r="I24" s="23"/>
      <c r="J24" s="23"/>
      <c r="K24" s="22"/>
      <c r="L24" s="20"/>
      <c r="M24" s="19"/>
      <c r="N24" s="19"/>
      <c r="O24" s="19"/>
      <c r="P24" s="19"/>
      <c r="Q24" s="19"/>
      <c r="R24" s="19"/>
      <c r="S24" s="19"/>
      <c r="T24" s="19"/>
      <c r="U24" s="19"/>
      <c r="V24" s="19"/>
    </row>
    <row r="25" spans="1:22" s="18" customFormat="1" ht="20.100000000000001" customHeight="1" outlineLevel="1">
      <c r="A25" s="21"/>
      <c r="B25" s="24"/>
      <c r="C25" s="23"/>
      <c r="D25" s="23"/>
      <c r="E25" s="23"/>
      <c r="F25" s="23"/>
      <c r="G25" s="23"/>
      <c r="H25" s="23"/>
      <c r="I25" s="23"/>
      <c r="J25" s="23"/>
      <c r="K25" s="22"/>
      <c r="L25" s="20"/>
      <c r="M25" s="19"/>
      <c r="N25" s="19"/>
      <c r="O25" s="19"/>
      <c r="P25" s="19"/>
      <c r="Q25" s="19"/>
      <c r="R25" s="19"/>
      <c r="S25" s="19"/>
      <c r="T25" s="19"/>
      <c r="U25" s="19"/>
      <c r="V25" s="19"/>
    </row>
    <row r="26" spans="1:22" s="18" customFormat="1" ht="20.100000000000001" customHeight="1" outlineLevel="1">
      <c r="A26" s="21"/>
      <c r="B26" s="24"/>
      <c r="C26" s="23"/>
      <c r="D26" s="23"/>
      <c r="E26" s="23"/>
      <c r="F26" s="23"/>
      <c r="G26" s="23"/>
      <c r="H26" s="23"/>
      <c r="I26" s="23"/>
      <c r="J26" s="23"/>
      <c r="K26" s="22"/>
      <c r="L26" s="20"/>
      <c r="M26" s="19"/>
      <c r="N26" s="19"/>
      <c r="O26" s="19"/>
      <c r="P26" s="19"/>
      <c r="Q26" s="19"/>
      <c r="R26" s="19"/>
      <c r="S26" s="19"/>
      <c r="T26" s="19"/>
      <c r="U26" s="19"/>
      <c r="V26" s="19"/>
    </row>
    <row r="27" spans="1:22" s="18" customFormat="1" ht="20.100000000000001" customHeight="1" outlineLevel="1">
      <c r="A27" s="21"/>
      <c r="B27" s="24"/>
      <c r="C27" s="23"/>
      <c r="D27" s="23"/>
      <c r="E27" s="23"/>
      <c r="F27" s="23"/>
      <c r="G27" s="23"/>
      <c r="H27" s="23"/>
      <c r="I27" s="23"/>
      <c r="J27" s="23"/>
      <c r="K27" s="22"/>
      <c r="L27" s="20"/>
      <c r="M27" s="19"/>
      <c r="N27" s="19"/>
      <c r="O27" s="19"/>
      <c r="P27" s="19"/>
      <c r="Q27" s="19"/>
      <c r="R27" s="19"/>
      <c r="S27" s="19"/>
      <c r="T27" s="19"/>
      <c r="U27" s="19"/>
      <c r="V27" s="19"/>
    </row>
    <row r="28" spans="1:22" s="18" customFormat="1" ht="20.100000000000001" customHeight="1" outlineLevel="1">
      <c r="A28" s="21"/>
      <c r="B28" s="166"/>
      <c r="C28" s="167"/>
      <c r="D28" s="167"/>
      <c r="E28" s="167"/>
      <c r="F28" s="167"/>
      <c r="G28" s="167"/>
      <c r="H28" s="167"/>
      <c r="I28" s="167"/>
      <c r="J28" s="167"/>
      <c r="K28" s="168"/>
      <c r="L28" s="20"/>
      <c r="M28" s="19"/>
      <c r="N28" s="19"/>
      <c r="O28" s="19"/>
      <c r="P28" s="19"/>
      <c r="Q28" s="19"/>
      <c r="R28" s="19"/>
      <c r="S28" s="19"/>
      <c r="T28" s="19"/>
      <c r="U28" s="19"/>
      <c r="V28" s="19"/>
    </row>
    <row r="29" spans="1:22" s="18" customFormat="1" ht="20.100000000000001" customHeight="1" outlineLevel="1">
      <c r="A29" s="21"/>
      <c r="B29" s="24"/>
      <c r="C29" s="23"/>
      <c r="D29" s="23"/>
      <c r="E29" s="23"/>
      <c r="F29" s="23"/>
      <c r="G29" s="23"/>
      <c r="H29" s="23"/>
      <c r="I29" s="23"/>
      <c r="J29" s="23"/>
      <c r="K29" s="22"/>
      <c r="L29" s="20"/>
      <c r="M29" s="19"/>
      <c r="N29" s="19"/>
      <c r="O29" s="19"/>
      <c r="P29" s="19"/>
      <c r="Q29" s="19"/>
      <c r="R29" s="19"/>
      <c r="S29" s="19"/>
      <c r="T29" s="19"/>
      <c r="U29" s="19"/>
      <c r="V29" s="19"/>
    </row>
    <row r="30" spans="1:22" s="18" customFormat="1" ht="20.100000000000001" customHeight="1" outlineLevel="1">
      <c r="A30" s="21"/>
      <c r="B30" s="24"/>
      <c r="C30" s="23"/>
      <c r="D30" s="23"/>
      <c r="E30" s="23"/>
      <c r="F30" s="23"/>
      <c r="G30" s="23"/>
      <c r="H30" s="23"/>
      <c r="I30" s="23"/>
      <c r="J30" s="23"/>
      <c r="K30" s="22"/>
      <c r="L30" s="20"/>
      <c r="M30" s="19"/>
      <c r="N30" s="19"/>
      <c r="O30" s="19"/>
      <c r="P30" s="19"/>
      <c r="Q30" s="19"/>
      <c r="R30" s="19"/>
      <c r="S30" s="19"/>
      <c r="T30" s="19"/>
      <c r="U30" s="19"/>
      <c r="V30" s="19"/>
    </row>
    <row r="31" spans="1:22" s="18" customFormat="1" ht="20.100000000000001" customHeight="1" outlineLevel="1">
      <c r="A31" s="21"/>
      <c r="B31" s="24"/>
      <c r="C31" s="23"/>
      <c r="D31" s="23"/>
      <c r="E31" s="23"/>
      <c r="F31" s="23"/>
      <c r="G31" s="23"/>
      <c r="H31" s="23"/>
      <c r="I31" s="23"/>
      <c r="J31" s="23"/>
      <c r="K31" s="22"/>
      <c r="L31" s="20"/>
      <c r="M31" s="19"/>
      <c r="N31" s="19"/>
      <c r="O31" s="19"/>
      <c r="P31" s="19"/>
      <c r="Q31" s="19"/>
      <c r="R31" s="19"/>
      <c r="S31" s="19"/>
      <c r="T31" s="19"/>
      <c r="U31" s="19"/>
      <c r="V31" s="19"/>
    </row>
    <row r="32" spans="1:22" s="18" customFormat="1" ht="20.100000000000001" customHeight="1" outlineLevel="1">
      <c r="A32" s="21"/>
      <c r="B32" s="24"/>
      <c r="C32" s="23"/>
      <c r="D32" s="23"/>
      <c r="E32" s="23"/>
      <c r="F32" s="23"/>
      <c r="G32" s="23"/>
      <c r="H32" s="23"/>
      <c r="I32" s="23"/>
      <c r="J32" s="23"/>
      <c r="K32" s="22"/>
      <c r="L32" s="20"/>
      <c r="M32" s="19"/>
      <c r="N32" s="19"/>
      <c r="O32" s="19"/>
      <c r="P32" s="19"/>
      <c r="Q32" s="19"/>
      <c r="R32" s="19"/>
      <c r="S32" s="19"/>
      <c r="T32" s="19"/>
      <c r="U32" s="19"/>
      <c r="V32" s="19"/>
    </row>
    <row r="33" spans="1:22" s="18" customFormat="1" ht="20.100000000000001" customHeight="1" outlineLevel="1">
      <c r="A33" s="21"/>
      <c r="B33" s="89"/>
      <c r="C33" s="90"/>
      <c r="D33" s="90"/>
      <c r="E33" s="90"/>
      <c r="F33" s="90"/>
      <c r="G33" s="90"/>
      <c r="H33" s="90"/>
      <c r="I33" s="90"/>
      <c r="J33" s="90"/>
      <c r="K33" s="91"/>
      <c r="L33" s="20"/>
      <c r="M33" s="19"/>
      <c r="N33" s="19"/>
      <c r="O33" s="19"/>
      <c r="P33" s="19"/>
      <c r="Q33" s="19"/>
      <c r="R33" s="19"/>
      <c r="S33" s="19"/>
      <c r="T33" s="19"/>
      <c r="U33" s="19"/>
      <c r="V33" s="19"/>
    </row>
    <row r="34" spans="1:22" s="18" customFormat="1" ht="20.100000000000001" customHeight="1" outlineLevel="1">
      <c r="A34" s="21"/>
      <c r="B34" s="23"/>
      <c r="C34" s="23"/>
      <c r="D34" s="23"/>
      <c r="E34" s="23"/>
      <c r="F34" s="23"/>
      <c r="G34" s="23"/>
      <c r="H34" s="23"/>
      <c r="I34" s="23"/>
      <c r="J34" s="23"/>
      <c r="K34" s="23"/>
      <c r="L34" s="20"/>
      <c r="M34" s="19"/>
      <c r="N34" s="19"/>
      <c r="O34" s="19"/>
      <c r="P34" s="19"/>
      <c r="Q34" s="19"/>
      <c r="R34" s="19"/>
      <c r="S34" s="19"/>
      <c r="T34" s="19"/>
      <c r="U34" s="19"/>
      <c r="V34" s="19"/>
    </row>
    <row r="35" spans="1:22" s="18" customFormat="1" ht="20.100000000000001" customHeight="1" outlineLevel="1">
      <c r="A35" s="95" t="str">
        <f>$A$21&amp;"."&amp;1</f>
        <v>A.1.1</v>
      </c>
      <c r="B35" s="12" t="s">
        <v>106</v>
      </c>
      <c r="C35" s="94"/>
      <c r="D35" s="94"/>
      <c r="E35" s="94"/>
      <c r="F35" s="94"/>
      <c r="G35" s="94"/>
      <c r="H35" s="94"/>
      <c r="I35" s="94"/>
      <c r="J35" s="94"/>
      <c r="K35" s="94"/>
      <c r="L35" s="20"/>
      <c r="M35" s="19"/>
      <c r="N35" s="19"/>
      <c r="O35" s="19"/>
      <c r="P35" s="19"/>
      <c r="Q35" s="19"/>
      <c r="R35" s="19"/>
      <c r="S35" s="19"/>
      <c r="T35" s="19"/>
      <c r="U35" s="19"/>
      <c r="V35" s="19"/>
    </row>
    <row r="36" spans="1:22" ht="20.100000000000001" customHeight="1" outlineLevel="1">
      <c r="A36" s="9" t="s">
        <v>5</v>
      </c>
      <c r="B36" s="11" t="s">
        <v>22</v>
      </c>
      <c r="C36" s="11"/>
      <c r="D36" s="11"/>
      <c r="E36" s="11"/>
      <c r="F36" s="11"/>
      <c r="G36" s="11"/>
      <c r="H36" s="11"/>
      <c r="I36" s="10" t="s">
        <v>23</v>
      </c>
      <c r="J36" s="92">
        <v>232.5</v>
      </c>
      <c r="K36" s="93" t="s">
        <v>8</v>
      </c>
      <c r="L36" s="3"/>
    </row>
    <row r="37" spans="1:22" ht="20.100000000000001" customHeight="1" outlineLevel="1">
      <c r="A37" s="9" t="s">
        <v>4</v>
      </c>
      <c r="B37" s="8" t="s">
        <v>24</v>
      </c>
      <c r="C37" s="8"/>
      <c r="D37" s="8"/>
      <c r="E37" s="8"/>
      <c r="F37" s="8"/>
      <c r="G37" s="8"/>
      <c r="H37" s="8"/>
      <c r="I37" s="7" t="s">
        <v>25</v>
      </c>
      <c r="J37" s="62">
        <v>166.5</v>
      </c>
      <c r="K37" s="5" t="s">
        <v>8</v>
      </c>
      <c r="L37" s="3"/>
    </row>
    <row r="38" spans="1:22" ht="20.100000000000001" customHeight="1" outlineLevel="1">
      <c r="A38" s="9" t="s">
        <v>4</v>
      </c>
      <c r="B38" s="8" t="s">
        <v>26</v>
      </c>
      <c r="C38" s="8"/>
      <c r="D38" s="8"/>
      <c r="E38" s="8"/>
      <c r="F38" s="8"/>
      <c r="G38" s="8"/>
      <c r="H38" s="8"/>
      <c r="I38" s="7" t="s">
        <v>27</v>
      </c>
      <c r="J38" s="62">
        <v>72</v>
      </c>
      <c r="K38" s="5" t="s">
        <v>8</v>
      </c>
      <c r="L38" s="3"/>
    </row>
    <row r="39" spans="1:22" ht="20.100000000000001" customHeight="1" outlineLevel="1">
      <c r="A39" s="9" t="s">
        <v>3</v>
      </c>
      <c r="B39" s="8" t="s">
        <v>28</v>
      </c>
      <c r="C39" s="8"/>
      <c r="D39" s="8"/>
      <c r="E39" s="8"/>
      <c r="F39" s="8"/>
      <c r="G39" s="8"/>
      <c r="H39" s="8"/>
      <c r="I39" s="7" t="s">
        <v>29</v>
      </c>
      <c r="J39" s="62">
        <v>200</v>
      </c>
      <c r="K39" s="5" t="s">
        <v>8</v>
      </c>
      <c r="L39" s="3"/>
    </row>
    <row r="40" spans="1:22" ht="20.100000000000001" customHeight="1" outlineLevel="1">
      <c r="A40" s="9" t="s">
        <v>7</v>
      </c>
      <c r="B40" s="8" t="s">
        <v>302</v>
      </c>
      <c r="C40" s="8"/>
      <c r="D40" s="8"/>
      <c r="E40" s="8"/>
      <c r="F40" s="8"/>
      <c r="G40" s="8"/>
      <c r="H40" s="8"/>
      <c r="I40" s="7" t="s">
        <v>303</v>
      </c>
      <c r="J40" s="62">
        <v>3</v>
      </c>
      <c r="K40" s="5" t="s">
        <v>217</v>
      </c>
      <c r="L40" s="3"/>
    </row>
    <row r="41" spans="1:22" ht="20.100000000000001" customHeight="1" outlineLevel="1">
      <c r="A41" s="9" t="s">
        <v>6</v>
      </c>
      <c r="B41" s="8" t="s">
        <v>297</v>
      </c>
      <c r="C41" s="8"/>
      <c r="D41" s="8"/>
      <c r="E41" s="8"/>
      <c r="F41" s="8"/>
      <c r="G41" s="8"/>
      <c r="H41" s="8"/>
      <c r="I41" s="7" t="s">
        <v>31</v>
      </c>
      <c r="J41" s="62">
        <v>3750</v>
      </c>
      <c r="K41" s="5" t="s">
        <v>8</v>
      </c>
      <c r="L41" s="3"/>
    </row>
    <row r="42" spans="1:22" ht="20.100000000000001" customHeight="1" outlineLevel="1">
      <c r="A42" s="9" t="s">
        <v>32</v>
      </c>
      <c r="B42" s="17" t="s">
        <v>326</v>
      </c>
      <c r="C42" s="17"/>
      <c r="D42" s="17"/>
      <c r="E42" s="17"/>
      <c r="F42" s="17"/>
      <c r="G42" s="17"/>
      <c r="H42" s="17"/>
      <c r="I42" s="16" t="s">
        <v>33</v>
      </c>
      <c r="J42" s="64">
        <v>-123.29166666666667</v>
      </c>
      <c r="K42" s="15" t="s">
        <v>9</v>
      </c>
      <c r="L42" s="3"/>
    </row>
    <row r="43" spans="1:22" ht="20.100000000000001" customHeight="1" outlineLevel="1">
      <c r="A43" s="9" t="s">
        <v>35</v>
      </c>
      <c r="B43" s="17" t="s">
        <v>52</v>
      </c>
      <c r="C43" s="17"/>
      <c r="D43" s="17"/>
      <c r="E43" s="17"/>
      <c r="F43" s="17"/>
      <c r="G43" s="17"/>
      <c r="H43" s="17"/>
      <c r="I43" s="16" t="s">
        <v>54</v>
      </c>
      <c r="J43" s="64">
        <v>210</v>
      </c>
      <c r="K43" s="15" t="s">
        <v>56</v>
      </c>
      <c r="L43" s="3"/>
    </row>
    <row r="44" spans="1:22" ht="20.100000000000001" customHeight="1" outlineLevel="1">
      <c r="A44" s="9" t="s">
        <v>36</v>
      </c>
      <c r="B44" s="8" t="s">
        <v>53</v>
      </c>
      <c r="C44" s="8"/>
      <c r="D44" s="8"/>
      <c r="E44" s="8"/>
      <c r="F44" s="8"/>
      <c r="G44" s="8"/>
      <c r="H44" s="8"/>
      <c r="I44" s="7" t="s">
        <v>55</v>
      </c>
      <c r="J44" s="62">
        <v>80.77</v>
      </c>
      <c r="K44" s="5" t="s">
        <v>56</v>
      </c>
      <c r="L44" s="3"/>
    </row>
    <row r="45" spans="1:22" ht="20.100000000000001" customHeight="1" outlineLevel="1">
      <c r="A45" s="9"/>
      <c r="B45" s="58"/>
      <c r="C45" s="58"/>
      <c r="D45" s="58"/>
      <c r="E45" s="58"/>
      <c r="F45" s="58"/>
      <c r="G45" s="58"/>
      <c r="H45" s="58"/>
      <c r="I45" s="59"/>
      <c r="J45" s="96"/>
      <c r="K45" s="60"/>
      <c r="L45" s="3"/>
    </row>
    <row r="46" spans="1:22" ht="20.100000000000001" customHeight="1" outlineLevel="1">
      <c r="A46" s="95" t="str">
        <f>$A$21&amp;"."&amp;2</f>
        <v>A.1.2</v>
      </c>
      <c r="B46" s="12" t="s">
        <v>107</v>
      </c>
      <c r="C46" s="94"/>
      <c r="D46" s="94"/>
      <c r="E46" s="94"/>
      <c r="F46" s="94"/>
      <c r="G46" s="94"/>
      <c r="H46" s="94"/>
      <c r="I46" s="94"/>
      <c r="J46" s="94"/>
      <c r="K46" s="94"/>
      <c r="L46" s="3"/>
    </row>
    <row r="47" spans="1:22" ht="20.100000000000001" customHeight="1" outlineLevel="1">
      <c r="A47" s="9" t="s">
        <v>5</v>
      </c>
      <c r="B47" s="8" t="s">
        <v>109</v>
      </c>
      <c r="C47" s="8"/>
      <c r="D47" s="8"/>
      <c r="E47" s="8"/>
      <c r="F47" s="8"/>
      <c r="G47" s="8"/>
      <c r="H47" s="8"/>
      <c r="I47" s="7"/>
      <c r="J47" s="61" t="s">
        <v>42</v>
      </c>
      <c r="K47" s="5"/>
      <c r="L47" s="3"/>
    </row>
    <row r="48" spans="1:22" ht="20.100000000000001" customHeight="1" outlineLevel="1">
      <c r="A48" s="9" t="s">
        <v>4</v>
      </c>
      <c r="B48" s="8" t="s">
        <v>109</v>
      </c>
      <c r="C48" s="8"/>
      <c r="D48" s="8"/>
      <c r="E48" s="8"/>
      <c r="F48" s="8"/>
      <c r="G48" s="8"/>
      <c r="H48" s="8"/>
      <c r="I48" s="7" t="s">
        <v>112</v>
      </c>
      <c r="J48" s="61">
        <v>80</v>
      </c>
      <c r="K48" s="5" t="s">
        <v>8</v>
      </c>
      <c r="L48" s="3"/>
    </row>
    <row r="49" spans="1:12" ht="20.100000000000001" customHeight="1" outlineLevel="1">
      <c r="A49" s="9" t="s">
        <v>3</v>
      </c>
      <c r="B49" s="8" t="s">
        <v>110</v>
      </c>
      <c r="C49" s="8"/>
      <c r="D49" s="8"/>
      <c r="E49" s="8"/>
      <c r="F49" s="8"/>
      <c r="G49" s="8"/>
      <c r="H49" s="8"/>
      <c r="I49" s="7" t="s">
        <v>113</v>
      </c>
      <c r="J49" s="61">
        <v>76.099999999999994</v>
      </c>
      <c r="K49" s="5" t="s">
        <v>8</v>
      </c>
      <c r="L49" s="3"/>
    </row>
    <row r="50" spans="1:12" ht="20.100000000000001" customHeight="1" outlineLevel="1">
      <c r="A50" s="9" t="s">
        <v>7</v>
      </c>
      <c r="B50" s="8" t="s">
        <v>111</v>
      </c>
      <c r="C50" s="8"/>
      <c r="D50" s="8"/>
      <c r="E50" s="8"/>
      <c r="F50" s="8"/>
      <c r="G50" s="8"/>
      <c r="H50" s="8"/>
      <c r="I50" s="7" t="s">
        <v>114</v>
      </c>
      <c r="J50" s="61">
        <v>0.27</v>
      </c>
      <c r="K50" s="5" t="s">
        <v>8</v>
      </c>
      <c r="L50" s="3"/>
    </row>
    <row r="51" spans="1:12" ht="20.100000000000001" customHeight="1" outlineLevel="1">
      <c r="A51" s="9" t="s">
        <v>6</v>
      </c>
      <c r="B51" s="8" t="s">
        <v>39</v>
      </c>
      <c r="C51" s="8"/>
      <c r="D51" s="8"/>
      <c r="E51" s="8"/>
      <c r="F51" s="8"/>
      <c r="G51" s="8"/>
      <c r="H51" s="8"/>
      <c r="I51" s="7" t="s">
        <v>41</v>
      </c>
      <c r="J51" s="61">
        <v>6</v>
      </c>
      <c r="K51" s="5" t="s">
        <v>8</v>
      </c>
      <c r="L51" s="3"/>
    </row>
    <row r="52" spans="1:12" ht="20.100000000000001" customHeight="1" outlineLevel="1">
      <c r="A52" s="9" t="s">
        <v>32</v>
      </c>
      <c r="B52" s="8" t="s">
        <v>115</v>
      </c>
      <c r="C52" s="8"/>
      <c r="D52" s="8"/>
      <c r="E52" s="8"/>
      <c r="F52" s="8"/>
      <c r="G52" s="8"/>
      <c r="H52" s="8"/>
      <c r="I52" s="7" t="s">
        <v>117</v>
      </c>
      <c r="J52" s="61">
        <v>900</v>
      </c>
      <c r="K52" s="15" t="s">
        <v>96</v>
      </c>
      <c r="L52" s="3"/>
    </row>
    <row r="53" spans="1:12" ht="20.100000000000001" customHeight="1" outlineLevel="1">
      <c r="A53" s="9" t="s">
        <v>35</v>
      </c>
      <c r="B53" s="17" t="s">
        <v>116</v>
      </c>
      <c r="C53" s="17"/>
      <c r="D53" s="17"/>
      <c r="E53" s="17"/>
      <c r="F53" s="17"/>
      <c r="G53" s="17"/>
      <c r="H53" s="17"/>
      <c r="I53" s="16" t="s">
        <v>118</v>
      </c>
      <c r="J53" s="65">
        <v>1000</v>
      </c>
      <c r="K53" s="15" t="s">
        <v>96</v>
      </c>
      <c r="L53" s="3"/>
    </row>
    <row r="54" spans="1:12" ht="20.100000000000001" customHeight="1" outlineLevel="1">
      <c r="A54" s="9" t="s">
        <v>36</v>
      </c>
      <c r="B54" s="17" t="s">
        <v>119</v>
      </c>
      <c r="C54" s="17"/>
      <c r="D54" s="17"/>
      <c r="E54" s="17"/>
      <c r="F54" s="17"/>
      <c r="G54" s="17"/>
      <c r="H54" s="17"/>
      <c r="I54" s="16" t="s">
        <v>54</v>
      </c>
      <c r="J54" s="65">
        <v>210</v>
      </c>
      <c r="K54" s="15" t="s">
        <v>56</v>
      </c>
      <c r="L54" s="3"/>
    </row>
    <row r="55" spans="1:12" ht="20.100000000000001" customHeight="1" outlineLevel="1">
      <c r="A55" s="9" t="s">
        <v>37</v>
      </c>
      <c r="B55" s="17" t="s">
        <v>34</v>
      </c>
      <c r="C55" s="17"/>
      <c r="D55" s="17"/>
      <c r="E55" s="17"/>
      <c r="F55" s="17"/>
      <c r="G55" s="17"/>
      <c r="H55" s="17"/>
      <c r="I55" s="16" t="s">
        <v>38</v>
      </c>
      <c r="J55" s="65">
        <v>2876</v>
      </c>
      <c r="K55" s="15" t="s">
        <v>9</v>
      </c>
      <c r="L55" s="3"/>
    </row>
    <row r="56" spans="1:12" ht="20.100000000000001" customHeight="1" outlineLevel="1">
      <c r="A56" s="9" t="s">
        <v>40</v>
      </c>
      <c r="B56" s="8" t="s">
        <v>43</v>
      </c>
      <c r="C56" s="8"/>
      <c r="D56" s="8"/>
      <c r="E56" s="8"/>
      <c r="F56" s="8"/>
      <c r="G56" s="8"/>
      <c r="H56" s="8"/>
      <c r="I56" s="7" t="s">
        <v>49</v>
      </c>
      <c r="J56" s="62">
        <v>86</v>
      </c>
      <c r="K56" s="5" t="s">
        <v>8</v>
      </c>
      <c r="L56" s="3"/>
    </row>
    <row r="57" spans="1:12" ht="20.100000000000001" customHeight="1" outlineLevel="1">
      <c r="A57" s="9" t="s">
        <v>51</v>
      </c>
      <c r="B57" s="8" t="s">
        <v>44</v>
      </c>
      <c r="C57" s="8"/>
      <c r="D57" s="8"/>
      <c r="E57" s="8"/>
      <c r="F57" s="8"/>
      <c r="G57" s="8"/>
      <c r="H57" s="8"/>
      <c r="I57" s="7" t="s">
        <v>50</v>
      </c>
      <c r="J57" s="62">
        <v>140</v>
      </c>
      <c r="K57" s="5" t="s">
        <v>8</v>
      </c>
      <c r="L57" s="3"/>
    </row>
    <row r="58" spans="1:12" ht="20.100000000000001" customHeight="1" outlineLevel="1">
      <c r="A58" s="9"/>
      <c r="B58" s="58"/>
      <c r="C58" s="58"/>
      <c r="D58" s="58"/>
      <c r="E58" s="58"/>
      <c r="F58" s="58"/>
      <c r="G58" s="58"/>
      <c r="H58" s="58"/>
      <c r="I58" s="59"/>
      <c r="J58" s="96"/>
      <c r="K58" s="60"/>
      <c r="L58" s="3"/>
    </row>
    <row r="59" spans="1:12" ht="20.100000000000001" customHeight="1" outlineLevel="1">
      <c r="A59" s="95" t="str">
        <f>$A$21&amp;"."&amp;3</f>
        <v>A.1.3</v>
      </c>
      <c r="B59" s="12" t="s">
        <v>108</v>
      </c>
      <c r="C59" s="94"/>
      <c r="D59" s="94"/>
      <c r="E59" s="94"/>
      <c r="F59" s="94"/>
      <c r="G59" s="94"/>
      <c r="H59" s="94"/>
      <c r="I59" s="94"/>
      <c r="J59" s="94"/>
      <c r="K59" s="94"/>
      <c r="L59" s="3"/>
    </row>
    <row r="60" spans="1:12" ht="20.100000000000001" customHeight="1" outlineLevel="1">
      <c r="A60" s="9" t="s">
        <v>5</v>
      </c>
      <c r="B60" s="11" t="s">
        <v>45</v>
      </c>
      <c r="C60" s="11"/>
      <c r="D60" s="11"/>
      <c r="E60" s="11"/>
      <c r="F60" s="11"/>
      <c r="G60" s="11"/>
      <c r="H60" s="11"/>
      <c r="I60" s="10" t="s">
        <v>48</v>
      </c>
      <c r="J60" s="97">
        <v>0.87601845454410032</v>
      </c>
      <c r="K60" s="93" t="s">
        <v>8</v>
      </c>
      <c r="L60" s="3"/>
    </row>
    <row r="61" spans="1:12" ht="20.100000000000001" customHeight="1" outlineLevel="1">
      <c r="A61" s="9" t="s">
        <v>4</v>
      </c>
      <c r="B61" s="8" t="s">
        <v>46</v>
      </c>
      <c r="C61" s="8"/>
      <c r="D61" s="8"/>
      <c r="E61" s="8"/>
      <c r="F61" s="8"/>
      <c r="G61" s="8"/>
      <c r="H61" s="8"/>
      <c r="I61" s="7" t="s">
        <v>47</v>
      </c>
      <c r="J61" s="98">
        <v>1963.4954084936205</v>
      </c>
      <c r="K61" s="5" t="s">
        <v>8</v>
      </c>
      <c r="L61" s="3"/>
    </row>
    <row r="62" spans="1:12" ht="20.100000000000001" customHeight="1" outlineLevel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3"/>
    </row>
    <row r="63" spans="1:12" ht="20.100000000000001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3"/>
    </row>
    <row r="64" spans="1:12" ht="20.100000000000001" customHeight="1" thickBot="1">
      <c r="A64" s="14" t="str">
        <f>$A$11&amp;"."&amp;2</f>
        <v>A.2</v>
      </c>
      <c r="B64" s="14" t="s">
        <v>57</v>
      </c>
      <c r="C64" s="14"/>
      <c r="D64" s="14"/>
      <c r="E64" s="14"/>
      <c r="F64" s="14"/>
      <c r="G64" s="14"/>
      <c r="H64" s="14"/>
      <c r="I64" s="14"/>
      <c r="J64" s="14"/>
      <c r="K64" s="13"/>
      <c r="L64" s="3"/>
    </row>
    <row r="65" spans="1:114" ht="20.100000000000001" customHeight="1" outlineLevel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3"/>
    </row>
    <row r="66" spans="1:114" ht="20.100000000000001" customHeight="1" outlineLevel="1">
      <c r="A66" s="4"/>
      <c r="B66" s="33"/>
      <c r="C66" s="32"/>
      <c r="D66" s="32"/>
      <c r="E66" s="32"/>
      <c r="F66" s="32"/>
      <c r="G66" s="32"/>
      <c r="H66" s="32"/>
      <c r="I66" s="32"/>
      <c r="J66" s="32"/>
      <c r="K66" s="31"/>
      <c r="L66" s="3"/>
      <c r="N66" s="70" t="s">
        <v>120</v>
      </c>
      <c r="O66" s="71">
        <v>-1411.8867178057162</v>
      </c>
      <c r="P66" s="71">
        <v>-1376.3492646910029</v>
      </c>
      <c r="Q66" s="71">
        <v>-1340.8118115762895</v>
      </c>
      <c r="R66" s="71">
        <v>-1305.2743584615762</v>
      </c>
      <c r="S66" s="71">
        <v>-1269.7369053468631</v>
      </c>
      <c r="T66" s="71">
        <v>-1234.19945223215</v>
      </c>
      <c r="U66" s="71">
        <v>-1198.6619991174366</v>
      </c>
      <c r="V66" s="71">
        <v>-1163.1245460027233</v>
      </c>
      <c r="W66" s="71">
        <v>-1127.5870928880099</v>
      </c>
      <c r="X66" s="71">
        <v>-1092.0496397732966</v>
      </c>
      <c r="Y66" s="71">
        <v>-1056.5121866585835</v>
      </c>
      <c r="Z66" s="71">
        <v>-1020.9747335438701</v>
      </c>
      <c r="AA66" s="71">
        <v>-985.43728042915689</v>
      </c>
      <c r="AB66" s="71">
        <v>-949.89982731444354</v>
      </c>
      <c r="AC66" s="71">
        <v>-914.36237419973031</v>
      </c>
      <c r="AD66" s="71">
        <v>-878.82492108501708</v>
      </c>
      <c r="AE66" s="71">
        <v>-843.28746797030374</v>
      </c>
      <c r="AF66" s="71">
        <v>-807.75001485559039</v>
      </c>
      <c r="AG66" s="71">
        <v>-772.21256174087716</v>
      </c>
      <c r="AH66" s="71">
        <v>-736.67510862616393</v>
      </c>
      <c r="AI66" s="71">
        <v>-701.13765551145059</v>
      </c>
      <c r="AJ66" s="71">
        <v>-665.60020239673725</v>
      </c>
      <c r="AK66" s="71">
        <v>-630.06274928202413</v>
      </c>
      <c r="AL66" s="71">
        <v>-594.52529616731078</v>
      </c>
      <c r="AM66" s="71">
        <v>-558.98784305259744</v>
      </c>
      <c r="AN66" s="71">
        <v>-523.45038993788421</v>
      </c>
      <c r="AO66" s="71">
        <v>-487.91293682317087</v>
      </c>
      <c r="AP66" s="71">
        <v>-452.37548370845769</v>
      </c>
      <c r="AQ66" s="71">
        <v>-416.83803059374435</v>
      </c>
      <c r="AR66" s="71">
        <v>-381.30057747903106</v>
      </c>
      <c r="AS66" s="71">
        <v>-345.76312436431783</v>
      </c>
      <c r="AT66" s="71">
        <v>-310.22567124960455</v>
      </c>
      <c r="AU66" s="71">
        <v>-274.68821813489126</v>
      </c>
      <c r="AV66" s="71">
        <v>-239.15076502017794</v>
      </c>
      <c r="AW66" s="71">
        <v>-203.61331190546463</v>
      </c>
      <c r="AX66" s="71">
        <v>-168.07585879075131</v>
      </c>
      <c r="AY66" s="71">
        <v>-132.538405676038</v>
      </c>
      <c r="AZ66" s="71">
        <v>-97.000952561324922</v>
      </c>
      <c r="BA66" s="71">
        <v>-61.463499446611621</v>
      </c>
      <c r="BB66" s="71">
        <v>-25.926046331898309</v>
      </c>
      <c r="BC66" s="71">
        <v>9.6114067828149992</v>
      </c>
      <c r="BD66" s="71">
        <v>45.148859897528311</v>
      </c>
      <c r="BE66" s="71">
        <v>80.686313012241612</v>
      </c>
      <c r="BF66" s="71">
        <v>116.22376612695493</v>
      </c>
      <c r="BG66" s="71">
        <v>151.76121924166802</v>
      </c>
      <c r="BH66" s="71">
        <v>187.2986723563813</v>
      </c>
      <c r="BI66" s="71">
        <v>222.83612547109462</v>
      </c>
      <c r="BJ66" s="71">
        <v>258.37357858580793</v>
      </c>
      <c r="BK66" s="71">
        <v>293.91103170052122</v>
      </c>
      <c r="BL66" s="71">
        <v>329.44848481523456</v>
      </c>
      <c r="BM66" s="71">
        <v>364.98593792994785</v>
      </c>
      <c r="BN66" s="71">
        <v>400.5233910446612</v>
      </c>
      <c r="BO66" s="71">
        <v>436.06084415937448</v>
      </c>
      <c r="BP66" s="71">
        <v>471.59829727408754</v>
      </c>
      <c r="BQ66" s="71">
        <v>507.13575038880089</v>
      </c>
      <c r="BR66" s="71">
        <v>542.67320350351417</v>
      </c>
      <c r="BS66" s="71">
        <v>578.21065661822752</v>
      </c>
      <c r="BT66" s="71">
        <v>613.74810973294075</v>
      </c>
      <c r="BU66" s="71">
        <v>649.28556284765409</v>
      </c>
      <c r="BV66" s="71">
        <v>684.82301596236744</v>
      </c>
      <c r="BW66" s="71">
        <v>720.36046907708044</v>
      </c>
      <c r="BX66" s="71">
        <v>755.89792219179401</v>
      </c>
      <c r="BY66" s="71">
        <v>791.43537530650713</v>
      </c>
      <c r="BZ66" s="71">
        <v>826.9728284212207</v>
      </c>
      <c r="CA66" s="71">
        <v>862.5102815359337</v>
      </c>
      <c r="CB66" s="71">
        <v>898.04773465064682</v>
      </c>
      <c r="CC66" s="71">
        <v>933.58518776536039</v>
      </c>
      <c r="CD66" s="71">
        <v>969.12264088007339</v>
      </c>
      <c r="CE66" s="71">
        <v>1004.660093994787</v>
      </c>
      <c r="CF66" s="71">
        <v>1040.1975471095</v>
      </c>
      <c r="CG66" s="71">
        <v>1075.7350002242135</v>
      </c>
      <c r="CH66" s="71">
        <v>1111.2724533389267</v>
      </c>
      <c r="CI66" s="71">
        <v>1146.8099064536402</v>
      </c>
      <c r="CJ66" s="71">
        <v>1182.3473595683533</v>
      </c>
      <c r="CK66" s="71">
        <v>1217.8848126830665</v>
      </c>
      <c r="CL66" s="71">
        <v>1253.4222657977798</v>
      </c>
      <c r="CM66" s="71">
        <v>1288.9597189124929</v>
      </c>
      <c r="CN66" s="71">
        <v>1324.4971720272065</v>
      </c>
      <c r="CO66" s="71">
        <v>1360.0346251419196</v>
      </c>
      <c r="CP66" s="71">
        <v>1395.5720782566332</v>
      </c>
      <c r="CQ66" s="71">
        <v>1431.1095313713463</v>
      </c>
      <c r="CR66" s="71">
        <v>1466.6469844860592</v>
      </c>
      <c r="CS66" s="71">
        <v>1502.1844376007728</v>
      </c>
      <c r="CT66" s="71">
        <v>1537.7218907154859</v>
      </c>
      <c r="CU66" s="71">
        <v>1573.2593438301994</v>
      </c>
      <c r="CV66" s="71">
        <v>1608.7967969449126</v>
      </c>
      <c r="CW66" s="71">
        <v>1644.3342500596261</v>
      </c>
      <c r="CX66" s="71">
        <v>1679.8717031743392</v>
      </c>
      <c r="CY66" s="71">
        <v>1715.4091562890521</v>
      </c>
      <c r="CZ66" s="71">
        <v>1750.9466094037657</v>
      </c>
      <c r="DA66" s="71">
        <v>1786.4840625184788</v>
      </c>
      <c r="DB66" s="71">
        <v>1822.0215156331924</v>
      </c>
      <c r="DC66" s="71">
        <v>1857.5589687479055</v>
      </c>
      <c r="DD66" s="71">
        <v>1893.0964218626191</v>
      </c>
      <c r="DE66" s="71">
        <v>1928.633874977332</v>
      </c>
      <c r="DF66" s="71">
        <v>1964.1713280920455</v>
      </c>
      <c r="DG66" s="71">
        <v>1999.7087812067587</v>
      </c>
      <c r="DH66" s="71">
        <v>2035.2462343214718</v>
      </c>
      <c r="DI66" s="71">
        <v>2070.7836874361851</v>
      </c>
      <c r="DJ66" s="71">
        <v>2106.3211405508987</v>
      </c>
    </row>
    <row r="67" spans="1:114" ht="20.100000000000001" customHeight="1" outlineLevel="1">
      <c r="A67" s="4"/>
      <c r="B67" s="30"/>
      <c r="C67" s="4"/>
      <c r="D67" s="4"/>
      <c r="E67" s="4"/>
      <c r="F67" s="4"/>
      <c r="G67" s="4"/>
      <c r="H67" s="4"/>
      <c r="I67" s="4"/>
      <c r="J67" s="4"/>
      <c r="K67" s="29"/>
      <c r="L67" s="3"/>
      <c r="N67" s="70" t="s">
        <v>121</v>
      </c>
      <c r="O67" s="71">
        <v>2829.8761188739527</v>
      </c>
      <c r="P67" s="71">
        <v>2829.8761188739527</v>
      </c>
      <c r="Q67" s="71">
        <v>2829.8765753289222</v>
      </c>
      <c r="R67" s="71">
        <v>2829.9240679981099</v>
      </c>
      <c r="S67" s="71">
        <v>2830.0496585720675</v>
      </c>
      <c r="T67" s="71">
        <v>2830.2533470507947</v>
      </c>
      <c r="U67" s="71">
        <v>2830.5351334342918</v>
      </c>
      <c r="V67" s="71">
        <v>2830.8950177225588</v>
      </c>
      <c r="W67" s="71">
        <v>2831.3329999155953</v>
      </c>
      <c r="X67" s="71">
        <v>2831.8490800134014</v>
      </c>
      <c r="Y67" s="71">
        <v>2832.4432580159778</v>
      </c>
      <c r="Z67" s="71">
        <v>2833.1155339233237</v>
      </c>
      <c r="AA67" s="71">
        <v>2833.8659077354396</v>
      </c>
      <c r="AB67" s="71">
        <v>2834.6943794523249</v>
      </c>
      <c r="AC67" s="71">
        <v>2835.6009490739802</v>
      </c>
      <c r="AD67" s="71">
        <v>2836.585616600405</v>
      </c>
      <c r="AE67" s="71">
        <v>2837.6483820315998</v>
      </c>
      <c r="AF67" s="71">
        <v>2838.7892453675649</v>
      </c>
      <c r="AG67" s="71">
        <v>2840.0082066082991</v>
      </c>
      <c r="AH67" s="71">
        <v>2841.3052657538033</v>
      </c>
      <c r="AI67" s="71">
        <v>2842.6804228040774</v>
      </c>
      <c r="AJ67" s="71">
        <v>2844.1336777591209</v>
      </c>
      <c r="AK67" s="71">
        <v>2845.6650306189345</v>
      </c>
      <c r="AL67" s="71">
        <v>2847.2744813835179</v>
      </c>
      <c r="AM67" s="71">
        <v>2848.9620300528704</v>
      </c>
      <c r="AN67" s="71">
        <v>2850.7276766269933</v>
      </c>
      <c r="AO67" s="71">
        <v>2852.5714211058862</v>
      </c>
      <c r="AP67" s="71">
        <v>2854.4932634895486</v>
      </c>
      <c r="AQ67" s="71">
        <v>2856.4932037779809</v>
      </c>
      <c r="AR67" s="71">
        <v>2858.5712419711826</v>
      </c>
      <c r="AS67" s="71">
        <v>2860.7273780691544</v>
      </c>
      <c r="AT67" s="71">
        <v>2862.9616120718961</v>
      </c>
      <c r="AU67" s="71">
        <v>2865.2739439794077</v>
      </c>
      <c r="AV67" s="71">
        <v>2867.6643737916884</v>
      </c>
      <c r="AW67" s="71">
        <v>2870.132901508739</v>
      </c>
      <c r="AX67" s="71">
        <v>2872.67952713056</v>
      </c>
      <c r="AY67" s="71">
        <v>2875.3042506571505</v>
      </c>
      <c r="AZ67" s="71">
        <v>2878.0707939814297</v>
      </c>
      <c r="BA67" s="71">
        <v>2881.1404082617078</v>
      </c>
      <c r="BB67" s="71">
        <v>2884.5209759457775</v>
      </c>
      <c r="BC67" s="71">
        <v>2888.212497033639</v>
      </c>
      <c r="BD67" s="71">
        <v>2892.2149715252917</v>
      </c>
      <c r="BE67" s="71">
        <v>2896.5283994207357</v>
      </c>
      <c r="BF67" s="71">
        <v>2901.1527807199718</v>
      </c>
      <c r="BG67" s="71">
        <v>2906.0881154229987</v>
      </c>
      <c r="BH67" s="71">
        <v>2911.3344035298173</v>
      </c>
      <c r="BI67" s="71">
        <v>2916.8916450404272</v>
      </c>
      <c r="BJ67" s="71">
        <v>2922.7598399548287</v>
      </c>
      <c r="BK67" s="71">
        <v>2928.9389882730216</v>
      </c>
      <c r="BL67" s="71">
        <v>2935.4290899950061</v>
      </c>
      <c r="BM67" s="71">
        <v>2942.2301451207818</v>
      </c>
      <c r="BN67" s="71">
        <v>2949.3421536503488</v>
      </c>
      <c r="BO67" s="71">
        <v>2956.7651155837075</v>
      </c>
      <c r="BP67" s="71">
        <v>2964.4990309208574</v>
      </c>
      <c r="BQ67" s="71">
        <v>2972.5438996617995</v>
      </c>
      <c r="BR67" s="71">
        <v>2980.8997218065324</v>
      </c>
      <c r="BS67" s="71">
        <v>2989.566497355057</v>
      </c>
      <c r="BT67" s="71">
        <v>2998.5442263073724</v>
      </c>
      <c r="BU67" s="71">
        <v>3007.8329086634799</v>
      </c>
      <c r="BV67" s="71">
        <v>3017.4325444233791</v>
      </c>
      <c r="BW67" s="71">
        <v>3027.3431335870691</v>
      </c>
      <c r="BX67" s="71">
        <v>3037.5646761545513</v>
      </c>
      <c r="BY67" s="71">
        <v>3048.0971721258243</v>
      </c>
      <c r="BZ67" s="71">
        <v>3058.9406215008889</v>
      </c>
      <c r="CA67" s="71">
        <v>3070.0950242797448</v>
      </c>
      <c r="CB67" s="71">
        <v>3081.5603804623925</v>
      </c>
      <c r="CC67" s="71">
        <v>3093.3366900488309</v>
      </c>
      <c r="CD67" s="71">
        <v>3105.4239530390619</v>
      </c>
      <c r="CE67" s="71">
        <v>3117.8221694330832</v>
      </c>
      <c r="CF67" s="71">
        <v>3130.5313392308967</v>
      </c>
      <c r="CG67" s="71">
        <v>3143.5514624325019</v>
      </c>
      <c r="CH67" s="71">
        <v>3156.8825390378979</v>
      </c>
      <c r="CI67" s="71">
        <v>3170.5245690470856</v>
      </c>
      <c r="CJ67" s="71">
        <v>3184.4775524600645</v>
      </c>
      <c r="CK67" s="71">
        <v>3198.7414892768347</v>
      </c>
      <c r="CL67" s="71">
        <v>3213.3163794973971</v>
      </c>
      <c r="CM67" s="71">
        <v>3228.2022231217506</v>
      </c>
      <c r="CN67" s="71">
        <v>3243.3990201498955</v>
      </c>
      <c r="CO67" s="71">
        <v>3258.9067705818316</v>
      </c>
      <c r="CP67" s="71">
        <v>3274.7254744175598</v>
      </c>
      <c r="CQ67" s="71">
        <v>3290.8551316570788</v>
      </c>
      <c r="CR67" s="71">
        <v>3307.2957423003895</v>
      </c>
      <c r="CS67" s="71">
        <v>3324.0473063474915</v>
      </c>
      <c r="CT67" s="71">
        <v>3341.1098237983852</v>
      </c>
      <c r="CU67" s="71">
        <v>3358.4832946530701</v>
      </c>
      <c r="CV67" s="71">
        <v>3376.1677189115467</v>
      </c>
      <c r="CW67" s="71">
        <v>3394.1630965738145</v>
      </c>
      <c r="CX67" s="71">
        <v>3412.4694276398741</v>
      </c>
      <c r="CY67" s="71">
        <v>3431.0867121097249</v>
      </c>
      <c r="CZ67" s="71">
        <v>3450.0149499833674</v>
      </c>
      <c r="DA67" s="71">
        <v>3469.2541412608007</v>
      </c>
      <c r="DB67" s="71">
        <v>3488.8042859420261</v>
      </c>
      <c r="DC67" s="71">
        <v>3508.6653840270424</v>
      </c>
      <c r="DD67" s="71">
        <v>3528.8374355158508</v>
      </c>
      <c r="DE67" s="71">
        <v>3549.3204404084504</v>
      </c>
      <c r="DF67" s="71">
        <v>3570.1143987048413</v>
      </c>
      <c r="DG67" s="71">
        <v>3591.2193104050239</v>
      </c>
      <c r="DH67" s="71">
        <v>3612.6351755089972</v>
      </c>
      <c r="DI67" s="71">
        <v>3634.3619940167628</v>
      </c>
      <c r="DJ67" s="71">
        <v>3656.3997659283195</v>
      </c>
    </row>
    <row r="68" spans="1:114" ht="20.100000000000001" customHeight="1" outlineLevel="1">
      <c r="A68" s="4"/>
      <c r="B68" s="30"/>
      <c r="C68" s="4"/>
      <c r="D68" s="4"/>
      <c r="E68" s="4"/>
      <c r="F68" s="4"/>
      <c r="G68" s="4"/>
      <c r="H68" s="4"/>
      <c r="I68" s="4"/>
      <c r="J68" s="4"/>
      <c r="K68" s="29"/>
      <c r="L68" s="3"/>
      <c r="N68" s="70" t="s">
        <v>58</v>
      </c>
      <c r="O68" s="71">
        <v>-229.43355372679758</v>
      </c>
      <c r="P68" s="71">
        <v>-229.43355372679758</v>
      </c>
      <c r="Q68" s="71">
        <v>-229.43142576896025</v>
      </c>
      <c r="R68" s="71">
        <v>-229.21001861072142</v>
      </c>
      <c r="S68" s="71">
        <v>-228.62452504809147</v>
      </c>
      <c r="T68" s="71">
        <v>-227.67494508107029</v>
      </c>
      <c r="U68" s="71">
        <v>-226.361278709658</v>
      </c>
      <c r="V68" s="71">
        <v>-224.6835259338545</v>
      </c>
      <c r="W68" s="71">
        <v>-222.64168675365985</v>
      </c>
      <c r="X68" s="71">
        <v>-220.23576116907398</v>
      </c>
      <c r="Y68" s="71">
        <v>-217.46574918009699</v>
      </c>
      <c r="Z68" s="71">
        <v>-214.33165078672883</v>
      </c>
      <c r="AA68" s="71">
        <v>-210.83346598896949</v>
      </c>
      <c r="AB68" s="71">
        <v>-206.97119478681898</v>
      </c>
      <c r="AC68" s="71">
        <v>-202.74483718027727</v>
      </c>
      <c r="AD68" s="71">
        <v>-198.15439316934436</v>
      </c>
      <c r="AE68" s="71">
        <v>-193.19986275402033</v>
      </c>
      <c r="AF68" s="71">
        <v>-187.88124593430513</v>
      </c>
      <c r="AG68" s="71">
        <v>-182.19854271019878</v>
      </c>
      <c r="AH68" s="71">
        <v>-176.15175308170126</v>
      </c>
      <c r="AI68" s="71">
        <v>-169.74087704881251</v>
      </c>
      <c r="AJ68" s="71">
        <v>-162.96591461153261</v>
      </c>
      <c r="AK68" s="71">
        <v>-155.82686576986154</v>
      </c>
      <c r="AL68" s="71">
        <v>-148.32373052379933</v>
      </c>
      <c r="AM68" s="71">
        <v>-140.45650887334591</v>
      </c>
      <c r="AN68" s="71">
        <v>-132.22520081850132</v>
      </c>
      <c r="AO68" s="71">
        <v>-123.62980635926559</v>
      </c>
      <c r="AP68" s="71">
        <v>-114.67032549563868</v>
      </c>
      <c r="AQ68" s="71">
        <v>-105.34675822762057</v>
      </c>
      <c r="AR68" s="71">
        <v>-95.6591045552113</v>
      </c>
      <c r="AS68" s="71">
        <v>-85.607364478410886</v>
      </c>
      <c r="AT68" s="71">
        <v>-75.191537997219271</v>
      </c>
      <c r="AU68" s="71">
        <v>-64.411625111636482</v>
      </c>
      <c r="AV68" s="71">
        <v>-53.26762582166252</v>
      </c>
      <c r="AW68" s="71">
        <v>-41.759540127297385</v>
      </c>
      <c r="AX68" s="71">
        <v>-29.88736802854109</v>
      </c>
      <c r="AY68" s="71">
        <v>-17.651109525393615</v>
      </c>
      <c r="AZ68" s="71">
        <v>-4.8853549282456541</v>
      </c>
      <c r="BA68" s="71">
        <v>8.828472531793679</v>
      </c>
      <c r="BB68" s="71">
        <v>23.510834162179052</v>
      </c>
      <c r="BC68" s="71">
        <v>39.161729962910449</v>
      </c>
      <c r="BD68" s="71">
        <v>55.781159933987887</v>
      </c>
      <c r="BE68" s="71">
        <v>73.369124075411349</v>
      </c>
      <c r="BF68" s="71">
        <v>91.925622387180852</v>
      </c>
      <c r="BG68" s="71">
        <v>111.45065486929624</v>
      </c>
      <c r="BH68" s="71">
        <v>131.94422152175781</v>
      </c>
      <c r="BI68" s="71">
        <v>153.40632234456541</v>
      </c>
      <c r="BJ68" s="71">
        <v>175.83695733771901</v>
      </c>
      <c r="BK68" s="71">
        <v>199.23612650121868</v>
      </c>
      <c r="BL68" s="71">
        <v>223.60382983506435</v>
      </c>
      <c r="BM68" s="71">
        <v>248.94006733925607</v>
      </c>
      <c r="BN68" s="71">
        <v>275.24483901379386</v>
      </c>
      <c r="BO68" s="71">
        <v>302.51814485867766</v>
      </c>
      <c r="BP68" s="71">
        <v>330.75998487390729</v>
      </c>
      <c r="BQ68" s="71">
        <v>359.97035905948314</v>
      </c>
      <c r="BR68" s="71">
        <v>390.14926741540501</v>
      </c>
      <c r="BS68" s="71">
        <v>421.29670994167293</v>
      </c>
      <c r="BT68" s="71">
        <v>453.41268663828691</v>
      </c>
      <c r="BU68" s="71">
        <v>486.49719750524685</v>
      </c>
      <c r="BV68" s="71">
        <v>520.55024254255284</v>
      </c>
      <c r="BW68" s="71">
        <v>555.57182175020466</v>
      </c>
      <c r="BX68" s="71">
        <v>591.56193512820289</v>
      </c>
      <c r="BY68" s="71">
        <v>628.52058267654684</v>
      </c>
      <c r="BZ68" s="71">
        <v>666.44776439523719</v>
      </c>
      <c r="CA68" s="71">
        <v>705.34348028427303</v>
      </c>
      <c r="CB68" s="71">
        <v>745.20773034365504</v>
      </c>
      <c r="CC68" s="71">
        <v>786.04051457338346</v>
      </c>
      <c r="CD68" s="71">
        <v>827.84183297345749</v>
      </c>
      <c r="CE68" s="71">
        <v>870.61168554387814</v>
      </c>
      <c r="CF68" s="71">
        <v>914.35007228464406</v>
      </c>
      <c r="CG68" s="71">
        <v>959.05699319575672</v>
      </c>
      <c r="CH68" s="71">
        <v>1004.7324482772149</v>
      </c>
      <c r="CI68" s="71">
        <v>1051.3764375290195</v>
      </c>
      <c r="CJ68" s="71">
        <v>1098.9889609511699</v>
      </c>
      <c r="CK68" s="71">
        <v>1147.5700185436658</v>
      </c>
      <c r="CL68" s="71">
        <v>1197.1196103065088</v>
      </c>
      <c r="CM68" s="71">
        <v>1247.637736239697</v>
      </c>
      <c r="CN68" s="71">
        <v>1299.1243963432319</v>
      </c>
      <c r="CO68" s="71">
        <v>1351.5795906171122</v>
      </c>
      <c r="CP68" s="71">
        <v>1405.0033190613392</v>
      </c>
      <c r="CQ68" s="71">
        <v>1459.3955816759114</v>
      </c>
      <c r="CR68" s="71">
        <v>1514.7563784608299</v>
      </c>
      <c r="CS68" s="71">
        <v>1571.0857094160949</v>
      </c>
      <c r="CT68" s="71">
        <v>1628.3835745417055</v>
      </c>
      <c r="CU68" s="71">
        <v>1686.6499738376626</v>
      </c>
      <c r="CV68" s="71">
        <v>1745.8849073039648</v>
      </c>
      <c r="CW68" s="71">
        <v>1806.0883749406144</v>
      </c>
      <c r="CX68" s="71">
        <v>1867.2603767476087</v>
      </c>
      <c r="CY68" s="71">
        <v>1929.4009127249492</v>
      </c>
      <c r="CZ68" s="71">
        <v>1992.5099828726368</v>
      </c>
      <c r="DA68" s="71">
        <v>2056.5875871906692</v>
      </c>
      <c r="DB68" s="71">
        <v>2121.6337256790484</v>
      </c>
      <c r="DC68" s="71">
        <v>2187.6483983377734</v>
      </c>
      <c r="DD68" s="71">
        <v>2254.6316051668446</v>
      </c>
      <c r="DE68" s="71">
        <v>2322.5833461662619</v>
      </c>
      <c r="DF68" s="71">
        <v>2391.5036213360249</v>
      </c>
      <c r="DG68" s="71">
        <v>2461.3924306761337</v>
      </c>
      <c r="DH68" s="71">
        <v>2532.2497741865886</v>
      </c>
      <c r="DI68" s="71">
        <v>2604.0756518673902</v>
      </c>
      <c r="DJ68" s="71">
        <v>2676.8700637185379</v>
      </c>
    </row>
    <row r="69" spans="1:114" ht="20.100000000000001" customHeight="1" outlineLevel="1">
      <c r="A69" s="4"/>
      <c r="B69" s="30"/>
      <c r="C69" s="4"/>
      <c r="D69" s="4"/>
      <c r="E69" s="4"/>
      <c r="F69" s="4"/>
      <c r="G69" s="4"/>
      <c r="H69" s="4"/>
      <c r="I69" s="4"/>
      <c r="J69" s="4"/>
      <c r="K69" s="29"/>
      <c r="L69" s="3"/>
    </row>
    <row r="70" spans="1:114" ht="20.100000000000001" customHeight="1" outlineLevel="1">
      <c r="A70" s="4"/>
      <c r="B70" s="30"/>
      <c r="C70" s="4"/>
      <c r="D70" s="4"/>
      <c r="E70" s="4"/>
      <c r="F70" s="4"/>
      <c r="G70" s="4"/>
      <c r="H70" s="4"/>
      <c r="I70" s="4"/>
      <c r="J70" s="4"/>
      <c r="K70" s="29"/>
      <c r="L70" s="3"/>
    </row>
    <row r="71" spans="1:114" ht="20.100000000000001" customHeight="1" outlineLevel="1">
      <c r="A71" s="4"/>
      <c r="B71" s="30"/>
      <c r="C71" s="4"/>
      <c r="D71" s="4"/>
      <c r="E71" s="4"/>
      <c r="F71" s="4"/>
      <c r="G71" s="4"/>
      <c r="H71" s="4"/>
      <c r="I71" s="4"/>
      <c r="J71" s="4"/>
      <c r="K71" s="29"/>
      <c r="L71" s="3"/>
    </row>
    <row r="72" spans="1:114" ht="20.100000000000001" customHeight="1" outlineLevel="1">
      <c r="A72" s="4"/>
      <c r="B72" s="30"/>
      <c r="C72" s="4"/>
      <c r="D72" s="4"/>
      <c r="E72" s="4"/>
      <c r="F72" s="4"/>
      <c r="G72" s="4"/>
      <c r="H72" s="4"/>
      <c r="I72" s="4"/>
      <c r="J72" s="4"/>
      <c r="K72" s="29"/>
      <c r="L72" s="3"/>
    </row>
    <row r="73" spans="1:114" ht="20.100000000000001" customHeight="1" outlineLevel="1">
      <c r="A73" s="4"/>
      <c r="B73" s="30"/>
      <c r="C73" s="4"/>
      <c r="D73" s="4"/>
      <c r="E73" s="4"/>
      <c r="F73" s="4"/>
      <c r="G73" s="4"/>
      <c r="H73" s="4"/>
      <c r="I73" s="4"/>
      <c r="J73" s="4"/>
      <c r="K73" s="29"/>
      <c r="L73" s="3"/>
    </row>
    <row r="74" spans="1:114" ht="20.100000000000001" customHeight="1" outlineLevel="1">
      <c r="A74" s="4"/>
      <c r="B74" s="30"/>
      <c r="C74" s="4"/>
      <c r="D74" s="4"/>
      <c r="E74" s="4"/>
      <c r="F74" s="4"/>
      <c r="G74" s="4"/>
      <c r="H74" s="4"/>
      <c r="I74" s="4"/>
      <c r="J74" s="4"/>
      <c r="K74" s="29"/>
      <c r="L74" s="3"/>
    </row>
    <row r="75" spans="1:114" ht="20.100000000000001" customHeight="1" outlineLevel="1">
      <c r="A75" s="4"/>
      <c r="B75" s="30"/>
      <c r="C75" s="4"/>
      <c r="D75" s="4"/>
      <c r="E75" s="4"/>
      <c r="F75" s="4"/>
      <c r="G75" s="4"/>
      <c r="H75" s="4"/>
      <c r="I75" s="4"/>
      <c r="J75" s="4"/>
      <c r="K75" s="29"/>
      <c r="L75" s="3"/>
    </row>
    <row r="76" spans="1:114" ht="20.100000000000001" customHeight="1" outlineLevel="1">
      <c r="A76" s="4"/>
      <c r="B76" s="30"/>
      <c r="C76" s="4"/>
      <c r="D76" s="4"/>
      <c r="E76" s="4"/>
      <c r="F76" s="4"/>
      <c r="G76" s="4"/>
      <c r="H76" s="4"/>
      <c r="I76" s="4"/>
      <c r="J76" s="4"/>
      <c r="K76" s="29"/>
      <c r="L76" s="3"/>
    </row>
    <row r="77" spans="1:114" ht="20.100000000000001" customHeight="1" outlineLevel="1">
      <c r="A77" s="4"/>
      <c r="B77" s="30"/>
      <c r="C77" s="4"/>
      <c r="D77" s="4"/>
      <c r="E77" s="4"/>
      <c r="F77" s="4"/>
      <c r="G77" s="4"/>
      <c r="H77" s="4"/>
      <c r="I77" s="4"/>
      <c r="J77" s="4"/>
      <c r="K77" s="29"/>
      <c r="L77" s="3"/>
    </row>
    <row r="78" spans="1:114" ht="20.100000000000001" customHeight="1" outlineLevel="1">
      <c r="A78" s="4"/>
      <c r="B78" s="30"/>
      <c r="C78" s="4"/>
      <c r="D78" s="4"/>
      <c r="E78" s="4"/>
      <c r="F78" s="4"/>
      <c r="G78" s="4"/>
      <c r="H78" s="4"/>
      <c r="I78" s="4"/>
      <c r="J78" s="4"/>
      <c r="K78" s="29"/>
      <c r="L78" s="3"/>
    </row>
    <row r="79" spans="1:114" ht="20.100000000000001" customHeight="1" outlineLevel="1">
      <c r="A79" s="4"/>
      <c r="B79" s="30"/>
      <c r="C79" s="4"/>
      <c r="D79" s="4"/>
      <c r="E79" s="4"/>
      <c r="F79" s="4"/>
      <c r="G79" s="4"/>
      <c r="H79" s="4"/>
      <c r="I79" s="4"/>
      <c r="J79" s="4"/>
      <c r="K79" s="29"/>
      <c r="L79" s="3"/>
    </row>
    <row r="80" spans="1:114" ht="20.100000000000001" customHeight="1" outlineLevel="1">
      <c r="A80" s="4"/>
      <c r="B80" s="73"/>
      <c r="C80" s="72"/>
      <c r="D80" s="72"/>
      <c r="E80" s="72"/>
      <c r="F80" s="72"/>
      <c r="G80" s="72"/>
      <c r="H80" s="72"/>
      <c r="I80" s="72"/>
      <c r="J80" s="72"/>
      <c r="K80" s="74"/>
      <c r="L80" s="3"/>
    </row>
    <row r="81" spans="1:14" ht="20.100000000000001" customHeight="1" outlineLevel="1">
      <c r="A81" s="9"/>
      <c r="B81" s="17"/>
      <c r="C81" s="17"/>
      <c r="D81" s="17"/>
      <c r="E81" s="17"/>
      <c r="F81" s="17"/>
      <c r="G81" s="17"/>
      <c r="H81" s="17"/>
      <c r="I81" s="16"/>
      <c r="J81" s="68"/>
      <c r="K81" s="15"/>
      <c r="L81" s="3"/>
    </row>
    <row r="82" spans="1:14" ht="20.100000000000001" customHeight="1" outlineLevel="1">
      <c r="A82" s="75" t="str">
        <f>$A$64&amp;"."&amp;1</f>
        <v>A.2.1</v>
      </c>
      <c r="B82" s="12" t="s">
        <v>59</v>
      </c>
      <c r="C82" s="12"/>
      <c r="D82" s="12"/>
      <c r="E82" s="12"/>
      <c r="F82" s="12"/>
      <c r="G82" s="12"/>
      <c r="H82" s="12"/>
      <c r="I82" s="12"/>
      <c r="J82" s="77" t="s">
        <v>60</v>
      </c>
      <c r="K82" s="78" t="s">
        <v>61</v>
      </c>
      <c r="L82" s="3"/>
    </row>
    <row r="83" spans="1:14" ht="20.100000000000001" customHeight="1" outlineLevel="1">
      <c r="A83" s="9" t="s">
        <v>5</v>
      </c>
      <c r="B83" s="11" t="s">
        <v>325</v>
      </c>
      <c r="C83" s="11"/>
      <c r="D83" s="11"/>
      <c r="E83" s="11"/>
      <c r="F83" s="11"/>
      <c r="G83" s="11"/>
      <c r="H83" s="11"/>
      <c r="I83" s="10"/>
      <c r="J83" s="79">
        <v>-123.29166666666667</v>
      </c>
      <c r="K83" s="79">
        <v>2876</v>
      </c>
      <c r="L83" s="3"/>
    </row>
    <row r="84" spans="1:14" ht="20.100000000000001" customHeight="1" outlineLevel="1">
      <c r="A84" s="9" t="s">
        <v>4</v>
      </c>
      <c r="B84" s="8" t="s">
        <v>62</v>
      </c>
      <c r="C84" s="8"/>
      <c r="D84" s="8"/>
      <c r="E84" s="8"/>
      <c r="F84" s="8"/>
      <c r="G84" s="8"/>
      <c r="H84" s="8"/>
      <c r="I84" s="7"/>
      <c r="J84" s="79">
        <v>2006.0201338579991</v>
      </c>
      <c r="K84" s="79">
        <v>3595</v>
      </c>
      <c r="L84" s="3"/>
    </row>
    <row r="85" spans="1:14" ht="20.100000000000001" customHeight="1" outlineLevel="1">
      <c r="A85" s="9" t="s">
        <v>3</v>
      </c>
      <c r="B85" s="8" t="s">
        <v>63</v>
      </c>
      <c r="C85" s="8"/>
      <c r="D85" s="8"/>
      <c r="E85" s="8"/>
      <c r="F85" s="8"/>
      <c r="G85" s="8"/>
      <c r="H85" s="8"/>
      <c r="I85" s="7"/>
      <c r="J85" s="79">
        <v>244.95252049918741</v>
      </c>
      <c r="K85" s="79">
        <v>2920.5071180545924</v>
      </c>
      <c r="L85" s="3"/>
    </row>
    <row r="86" spans="1:14" ht="20.100000000000001" customHeight="1" outlineLevel="1">
      <c r="A86" s="9" t="s">
        <v>7</v>
      </c>
      <c r="B86" s="8" t="s">
        <v>65</v>
      </c>
      <c r="C86" s="8"/>
      <c r="D86" s="8"/>
      <c r="E86" s="8"/>
      <c r="F86" s="8"/>
      <c r="G86" s="8"/>
      <c r="H86" s="8"/>
      <c r="I86" s="7"/>
      <c r="J86" s="79">
        <v>-1344.6540169578248</v>
      </c>
      <c r="K86" s="79">
        <v>2829.8761188739527</v>
      </c>
      <c r="L86" s="3"/>
    </row>
    <row r="87" spans="1:14" ht="20.100000000000001" customHeight="1" outlineLevel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3"/>
    </row>
    <row r="88" spans="1:14" ht="20.100000000000001" customHeight="1" outlineLevel="1">
      <c r="A88" s="75" t="str">
        <f>$A$64&amp;"."&amp;2</f>
        <v>A.2.2</v>
      </c>
      <c r="B88" s="12" t="s">
        <v>64</v>
      </c>
      <c r="C88" s="12"/>
      <c r="D88" s="12"/>
      <c r="E88" s="12"/>
      <c r="F88" s="12"/>
      <c r="G88" s="12"/>
      <c r="H88" s="12"/>
      <c r="I88" s="78" t="s">
        <v>95</v>
      </c>
      <c r="J88" s="77" t="s">
        <v>68</v>
      </c>
      <c r="K88" s="78" t="s">
        <v>69</v>
      </c>
      <c r="L88" s="3"/>
    </row>
    <row r="89" spans="1:14" ht="20.100000000000001" customHeight="1" outlineLevel="1">
      <c r="A89" s="9" t="s">
        <v>5</v>
      </c>
      <c r="B89" s="11" t="s">
        <v>327</v>
      </c>
      <c r="C89" s="11"/>
      <c r="D89" s="11"/>
      <c r="E89" s="11"/>
      <c r="F89" s="11"/>
      <c r="G89" s="11"/>
      <c r="H89" s="11"/>
      <c r="I89" s="80">
        <v>2887183.4165056306</v>
      </c>
      <c r="J89" s="80">
        <v>0.10588541001812402</v>
      </c>
      <c r="K89" s="80">
        <v>1.231098267061012E-7</v>
      </c>
      <c r="L89" s="3"/>
      <c r="N89" s="1" t="s">
        <v>324</v>
      </c>
    </row>
    <row r="90" spans="1:14" ht="20.100000000000001" customHeight="1" outlineLevel="1">
      <c r="A90" s="9" t="s">
        <v>4</v>
      </c>
      <c r="B90" s="8" t="s">
        <v>66</v>
      </c>
      <c r="C90" s="8"/>
      <c r="D90" s="8"/>
      <c r="E90" s="8"/>
      <c r="F90" s="8"/>
      <c r="G90" s="8"/>
      <c r="H90" s="8"/>
      <c r="I90" s="80">
        <v>2885782.051235259</v>
      </c>
      <c r="J90" s="80">
        <v>8.3152887889761815E-2</v>
      </c>
      <c r="K90" s="80">
        <v>3.0919807936129461E-8</v>
      </c>
      <c r="L90" s="3"/>
    </row>
    <row r="91" spans="1:14" ht="20.100000000000001" customHeight="1" outlineLevel="1">
      <c r="A91" s="9" t="s">
        <v>3</v>
      </c>
      <c r="B91" s="8" t="s">
        <v>67</v>
      </c>
      <c r="C91" s="8"/>
      <c r="D91" s="8"/>
      <c r="E91" s="8"/>
      <c r="F91" s="8"/>
      <c r="G91" s="8"/>
      <c r="H91" s="8"/>
      <c r="I91" s="80">
        <v>2829876.1188739529</v>
      </c>
      <c r="J91" s="76">
        <v>0</v>
      </c>
      <c r="K91" s="76">
        <v>0</v>
      </c>
      <c r="L91" s="3"/>
    </row>
    <row r="92" spans="1:14" ht="20.100000000000001" customHeight="1" outlineLevel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3"/>
    </row>
    <row r="93" spans="1:14" ht="20.100000000000001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3"/>
    </row>
    <row r="94" spans="1:14" ht="20.100000000000001" customHeight="1" thickBot="1">
      <c r="A94" s="14" t="str">
        <f>$A$11&amp;"."&amp;3</f>
        <v>A.3</v>
      </c>
      <c r="B94" s="14" t="s">
        <v>70</v>
      </c>
      <c r="C94" s="14"/>
      <c r="D94" s="14"/>
      <c r="E94" s="14"/>
      <c r="F94" s="14"/>
      <c r="G94" s="14"/>
      <c r="H94" s="14"/>
      <c r="I94" s="14"/>
      <c r="J94" s="14"/>
      <c r="K94" s="13"/>
      <c r="L94" s="3"/>
    </row>
    <row r="95" spans="1:14" ht="20.100000000000001" customHeight="1" outlineLevel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3"/>
    </row>
    <row r="96" spans="1:14" ht="20.100000000000001" customHeight="1" outlineLevel="1">
      <c r="A96" s="4"/>
      <c r="B96" s="33"/>
      <c r="C96" s="32"/>
      <c r="D96" s="32"/>
      <c r="E96" s="32"/>
      <c r="F96" s="32"/>
      <c r="G96" s="32"/>
      <c r="H96" s="32"/>
      <c r="I96" s="32"/>
      <c r="J96" s="32"/>
      <c r="K96" s="31"/>
      <c r="L96" s="3"/>
      <c r="N96" s="70"/>
    </row>
    <row r="97" spans="1:18" ht="20.100000000000001" customHeight="1" outlineLevel="1">
      <c r="A97" s="4"/>
      <c r="B97" s="30"/>
      <c r="C97" s="4"/>
      <c r="D97" s="4"/>
      <c r="E97" s="4"/>
      <c r="F97" s="4"/>
      <c r="G97" s="4"/>
      <c r="H97" s="4"/>
      <c r="I97" s="4"/>
      <c r="J97" s="4"/>
      <c r="K97" s="29"/>
      <c r="L97" s="3"/>
      <c r="N97" s="70"/>
    </row>
    <row r="98" spans="1:18" ht="20.100000000000001" customHeight="1" outlineLevel="1">
      <c r="A98" s="4"/>
      <c r="B98" s="30"/>
      <c r="C98" s="4"/>
      <c r="D98" s="4"/>
      <c r="E98" s="4"/>
      <c r="F98" s="4"/>
      <c r="G98" s="4"/>
      <c r="H98" s="4"/>
      <c r="I98" s="4"/>
      <c r="J98" s="4"/>
      <c r="K98" s="29"/>
      <c r="L98" s="3"/>
      <c r="N98" s="70"/>
    </row>
    <row r="99" spans="1:18" ht="20.100000000000001" customHeight="1" outlineLevel="1">
      <c r="A99" s="4"/>
      <c r="B99" s="30"/>
      <c r="C99" s="4"/>
      <c r="D99" s="4"/>
      <c r="E99" s="4"/>
      <c r="F99" s="4"/>
      <c r="G99" s="4"/>
      <c r="H99" s="4"/>
      <c r="I99" s="4"/>
      <c r="J99" s="4"/>
      <c r="K99" s="29"/>
      <c r="L99" s="3"/>
    </row>
    <row r="100" spans="1:18" ht="20.100000000000001" customHeight="1" outlineLevel="1">
      <c r="A100" s="4"/>
      <c r="B100" s="30"/>
      <c r="C100" s="4"/>
      <c r="D100" s="4"/>
      <c r="E100" s="4"/>
      <c r="F100" s="4"/>
      <c r="G100" s="4"/>
      <c r="H100" s="4"/>
      <c r="I100" s="4"/>
      <c r="J100" s="4"/>
      <c r="K100" s="29"/>
      <c r="L100" s="3"/>
    </row>
    <row r="101" spans="1:18" ht="20.100000000000001" customHeight="1" outlineLevel="1">
      <c r="A101" s="4"/>
      <c r="B101" s="30"/>
      <c r="C101" s="4"/>
      <c r="D101" s="4"/>
      <c r="E101" s="4"/>
      <c r="F101" s="4"/>
      <c r="G101" s="4"/>
      <c r="H101" s="4"/>
      <c r="I101" s="4"/>
      <c r="J101" s="4"/>
      <c r="K101" s="29"/>
      <c r="L101" s="3"/>
    </row>
    <row r="102" spans="1:18" ht="20.100000000000001" customHeight="1" outlineLevel="1">
      <c r="A102" s="4"/>
      <c r="B102" s="30"/>
      <c r="C102" s="4"/>
      <c r="D102" s="4"/>
      <c r="E102" s="4"/>
      <c r="F102" s="4"/>
      <c r="G102" s="4"/>
      <c r="H102" s="4"/>
      <c r="I102" s="4"/>
      <c r="J102" s="4"/>
      <c r="K102" s="29"/>
      <c r="L102" s="3"/>
    </row>
    <row r="103" spans="1:18" ht="20.100000000000001" customHeight="1" outlineLevel="1">
      <c r="A103" s="4"/>
      <c r="B103" s="30"/>
      <c r="C103" s="4"/>
      <c r="D103" s="4"/>
      <c r="E103" s="4"/>
      <c r="F103" s="4"/>
      <c r="G103" s="4"/>
      <c r="H103" s="4"/>
      <c r="I103" s="4"/>
      <c r="J103" s="4"/>
      <c r="K103" s="29"/>
      <c r="L103" s="3"/>
    </row>
    <row r="104" spans="1:18" ht="20.100000000000001" customHeight="1" outlineLevel="1">
      <c r="A104" s="4"/>
      <c r="B104" s="30"/>
      <c r="C104" s="4"/>
      <c r="D104" s="4"/>
      <c r="E104" s="4"/>
      <c r="F104" s="4"/>
      <c r="G104" s="4"/>
      <c r="H104" s="4"/>
      <c r="I104" s="4"/>
      <c r="J104" s="4"/>
      <c r="K104" s="29"/>
      <c r="L104" s="3"/>
    </row>
    <row r="105" spans="1:18" ht="20.100000000000001" customHeight="1" outlineLevel="1">
      <c r="A105" s="4"/>
      <c r="B105" s="30"/>
      <c r="C105" s="4"/>
      <c r="D105" s="4"/>
      <c r="E105" s="4"/>
      <c r="F105" s="4"/>
      <c r="G105" s="4"/>
      <c r="H105" s="4"/>
      <c r="I105" s="4"/>
      <c r="J105" s="4"/>
      <c r="K105" s="29"/>
      <c r="L105" s="3"/>
    </row>
    <row r="106" spans="1:18" ht="20.100000000000001" customHeight="1" outlineLevel="1">
      <c r="A106" s="4"/>
      <c r="B106" s="30"/>
      <c r="C106" s="4"/>
      <c r="D106" s="4"/>
      <c r="E106" s="4"/>
      <c r="F106" s="4"/>
      <c r="G106" s="4"/>
      <c r="H106" s="4"/>
      <c r="I106" s="4"/>
      <c r="J106" s="4"/>
      <c r="K106" s="29"/>
      <c r="L106" s="3"/>
    </row>
    <row r="107" spans="1:18" ht="20.100000000000001" customHeight="1" outlineLevel="1">
      <c r="A107" s="4"/>
      <c r="B107" s="30"/>
      <c r="C107" s="4"/>
      <c r="D107" s="4"/>
      <c r="E107" s="4"/>
      <c r="F107" s="4"/>
      <c r="G107" s="4"/>
      <c r="H107" s="4"/>
      <c r="I107" s="4"/>
      <c r="J107" s="4"/>
      <c r="K107" s="29"/>
      <c r="L107" s="3"/>
    </row>
    <row r="108" spans="1:18" ht="20.100000000000001" customHeight="1" outlineLevel="1">
      <c r="A108" s="4"/>
      <c r="B108" s="30"/>
      <c r="C108" s="4"/>
      <c r="D108" s="4"/>
      <c r="E108" s="4"/>
      <c r="F108" s="4"/>
      <c r="G108" s="4"/>
      <c r="H108" s="4"/>
      <c r="I108" s="4"/>
      <c r="J108" s="4"/>
      <c r="K108" s="29"/>
      <c r="L108" s="3"/>
    </row>
    <row r="109" spans="1:18" ht="20.100000000000001" customHeight="1" outlineLevel="1">
      <c r="A109" s="4"/>
      <c r="B109" s="30"/>
      <c r="C109" s="4"/>
      <c r="D109" s="4"/>
      <c r="E109" s="4"/>
      <c r="F109" s="4"/>
      <c r="G109" s="4"/>
      <c r="H109" s="4"/>
      <c r="I109" s="4"/>
      <c r="J109" s="4"/>
      <c r="K109" s="29"/>
      <c r="L109" s="3"/>
    </row>
    <row r="110" spans="1:18" ht="20.100000000000001" customHeight="1" outlineLevel="1">
      <c r="A110" s="4"/>
      <c r="B110" s="73"/>
      <c r="C110" s="72"/>
      <c r="D110" s="72"/>
      <c r="E110" s="72"/>
      <c r="F110" s="72"/>
      <c r="G110" s="72"/>
      <c r="H110" s="72"/>
      <c r="I110" s="72"/>
      <c r="J110" s="72"/>
      <c r="K110" s="74"/>
      <c r="L110" s="3"/>
    </row>
    <row r="111" spans="1:18" ht="20.100000000000001" customHeight="1" outlineLevel="1">
      <c r="A111" s="9"/>
      <c r="B111" s="17"/>
      <c r="C111" s="17"/>
      <c r="D111" s="17"/>
      <c r="E111" s="17"/>
      <c r="F111" s="17"/>
      <c r="G111" s="17"/>
      <c r="H111" s="17"/>
      <c r="I111" s="16"/>
      <c r="J111" s="68"/>
      <c r="K111" s="15"/>
      <c r="L111" s="3"/>
      <c r="Q111" s="70" t="s">
        <v>304</v>
      </c>
      <c r="R111" s="137">
        <v>0.45</v>
      </c>
    </row>
    <row r="112" spans="1:18" ht="20.100000000000001" customHeight="1" outlineLevel="1">
      <c r="A112" s="75" t="str">
        <f>$A$94&amp;"."&amp;1</f>
        <v>A.3.1</v>
      </c>
      <c r="B112" s="12" t="s">
        <v>59</v>
      </c>
      <c r="C112" s="12"/>
      <c r="D112" s="12"/>
      <c r="E112" s="12"/>
      <c r="F112" s="12"/>
      <c r="G112" s="12"/>
      <c r="H112" s="12"/>
      <c r="I112" s="12"/>
      <c r="J112" s="77" t="s">
        <v>60</v>
      </c>
      <c r="K112" s="78" t="s">
        <v>71</v>
      </c>
      <c r="L112" s="3"/>
      <c r="Q112" s="70" t="s">
        <v>305</v>
      </c>
      <c r="R112" s="137">
        <f>R111/2/(J113-J116)</f>
        <v>1.8422051404021314E-4</v>
      </c>
    </row>
    <row r="113" spans="1:21" ht="20.100000000000001" customHeight="1" outlineLevel="1">
      <c r="A113" s="9" t="s">
        <v>5</v>
      </c>
      <c r="B113" s="11" t="s">
        <v>325</v>
      </c>
      <c r="C113" s="11"/>
      <c r="D113" s="11"/>
      <c r="E113" s="11"/>
      <c r="F113" s="11"/>
      <c r="G113" s="11"/>
      <c r="H113" s="11"/>
      <c r="I113" s="10"/>
      <c r="J113" s="79">
        <f>point1.Z</f>
        <v>-123.29166666666667</v>
      </c>
      <c r="K113" s="79">
        <v>-14.407579787403309</v>
      </c>
      <c r="L113" s="3"/>
      <c r="Q113" s="70" t="s">
        <v>306</v>
      </c>
      <c r="R113" s="1">
        <f>R111-2*R112*J113</f>
        <v>0.49542570842041589</v>
      </c>
    </row>
    <row r="114" spans="1:21" ht="20.100000000000001" customHeight="1" outlineLevel="1">
      <c r="A114" s="9" t="s">
        <v>4</v>
      </c>
      <c r="B114" s="8" t="s">
        <v>62</v>
      </c>
      <c r="C114" s="8"/>
      <c r="D114" s="8"/>
      <c r="E114" s="8"/>
      <c r="F114" s="8"/>
      <c r="G114" s="8"/>
      <c r="H114" s="8"/>
      <c r="I114" s="7"/>
      <c r="J114" s="79">
        <f>point2.Z</f>
        <v>2006.0201338579991</v>
      </c>
      <c r="K114" s="79">
        <v>2473.9057671178693</v>
      </c>
      <c r="L114" s="3"/>
      <c r="Q114" s="70" t="s">
        <v>307</v>
      </c>
      <c r="R114" s="1">
        <f>point1.Ms-R113*J113-R112*J113^2</f>
        <v>43.873975862930251</v>
      </c>
    </row>
    <row r="115" spans="1:21" ht="20.100000000000001" customHeight="1" outlineLevel="1">
      <c r="A115" s="9" t="s">
        <v>3</v>
      </c>
      <c r="B115" s="8" t="s">
        <v>63</v>
      </c>
      <c r="C115" s="8"/>
      <c r="D115" s="8"/>
      <c r="E115" s="8"/>
      <c r="F115" s="8"/>
      <c r="G115" s="8"/>
      <c r="H115" s="8"/>
      <c r="I115" s="7"/>
      <c r="J115" s="79">
        <f>point3.Z</f>
        <v>244.95252049918741</v>
      </c>
      <c r="K115" s="79">
        <v>167.25199545903379</v>
      </c>
      <c r="L115" s="3"/>
      <c r="Q115" s="1" t="s">
        <v>308</v>
      </c>
      <c r="R115" s="1">
        <f>R114+R113*J116+R112*J116^2</f>
        <v>-289.21410860291388</v>
      </c>
    </row>
    <row r="116" spans="1:21" ht="20.100000000000001" customHeight="1" outlineLevel="1">
      <c r="A116" s="9" t="s">
        <v>7</v>
      </c>
      <c r="B116" s="8" t="s">
        <v>65</v>
      </c>
      <c r="C116" s="8"/>
      <c r="D116" s="8"/>
      <c r="E116" s="8"/>
      <c r="F116" s="8"/>
      <c r="G116" s="8"/>
      <c r="H116" s="8"/>
      <c r="I116" s="7"/>
      <c r="J116" s="79">
        <f>point4.Z</f>
        <v>-1344.6540169578248</v>
      </c>
      <c r="K116" s="79">
        <v>-229.43355372679758</v>
      </c>
      <c r="L116" s="3"/>
    </row>
    <row r="117" spans="1:21" ht="20.100000000000001" customHeight="1" outlineLevel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3"/>
    </row>
    <row r="118" spans="1:21" ht="20.100000000000001" customHeight="1" outlineLevel="1">
      <c r="A118" s="75" t="str">
        <f>$A$94&amp;"."&amp;2</f>
        <v>A.3.2</v>
      </c>
      <c r="B118" s="12" t="s">
        <v>64</v>
      </c>
      <c r="C118" s="12"/>
      <c r="D118" s="12"/>
      <c r="E118" s="12"/>
      <c r="F118" s="12"/>
      <c r="G118" s="12"/>
      <c r="H118" s="12"/>
      <c r="I118" s="78" t="s">
        <v>95</v>
      </c>
      <c r="J118" s="77" t="s">
        <v>68</v>
      </c>
      <c r="K118" s="78" t="s">
        <v>69</v>
      </c>
      <c r="L118" s="3"/>
    </row>
    <row r="119" spans="1:21" ht="20.100000000000001" customHeight="1" outlineLevel="1">
      <c r="A119" s="9" t="s">
        <v>5</v>
      </c>
      <c r="B119" s="11" t="s">
        <v>327</v>
      </c>
      <c r="C119" s="11"/>
      <c r="D119" s="11"/>
      <c r="E119" s="11"/>
      <c r="F119" s="11"/>
      <c r="G119" s="11"/>
      <c r="H119" s="11"/>
      <c r="I119" s="80">
        <v>34.833260851452941</v>
      </c>
      <c r="J119" s="80">
        <v>4.4666156917872038E-4</v>
      </c>
      <c r="K119" s="80">
        <v>3.8345318757213877E-10</v>
      </c>
      <c r="L119" s="3"/>
    </row>
    <row r="120" spans="1:21" ht="20.100000000000001" customHeight="1" outlineLevel="1">
      <c r="A120" s="9" t="s">
        <v>4</v>
      </c>
      <c r="B120" s="8" t="s">
        <v>66</v>
      </c>
      <c r="C120" s="8"/>
      <c r="D120" s="8"/>
      <c r="E120" s="8"/>
      <c r="F120" s="8"/>
      <c r="G120" s="8"/>
      <c r="H120" s="8"/>
      <c r="I120" s="80">
        <v>31.195588086491284</v>
      </c>
      <c r="J120" s="80">
        <v>3.876523455497378E-4</v>
      </c>
      <c r="K120" s="80">
        <v>1.4414575818795793E-10</v>
      </c>
      <c r="L120" s="3"/>
    </row>
    <row r="121" spans="1:21" ht="20.100000000000001" customHeight="1" outlineLevel="1">
      <c r="A121" s="9" t="s">
        <v>3</v>
      </c>
      <c r="B121" s="8" t="s">
        <v>67</v>
      </c>
      <c r="C121" s="8"/>
      <c r="D121" s="8"/>
      <c r="E121" s="8"/>
      <c r="F121" s="8"/>
      <c r="G121" s="8"/>
      <c r="H121" s="8"/>
      <c r="I121" s="80">
        <v>-229.43355372679758</v>
      </c>
      <c r="J121" s="76">
        <v>0</v>
      </c>
      <c r="K121" s="76">
        <v>0</v>
      </c>
      <c r="L121" s="3"/>
    </row>
    <row r="122" spans="1:21" ht="20.100000000000001" customHeight="1" outlineLevel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3"/>
    </row>
    <row r="123" spans="1:21" ht="20.100000000000001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3"/>
    </row>
    <row r="124" spans="1:21" ht="20.100000000000001" customHeight="1" thickBot="1">
      <c r="A124" s="14" t="str">
        <f>$A$11&amp;"."&amp;4</f>
        <v>A.4</v>
      </c>
      <c r="B124" s="14" t="s">
        <v>255</v>
      </c>
      <c r="C124" s="14"/>
      <c r="D124" s="14"/>
      <c r="E124" s="14"/>
      <c r="F124" s="14"/>
      <c r="G124" s="14"/>
      <c r="H124" s="14"/>
      <c r="I124" s="14"/>
      <c r="J124" s="14"/>
      <c r="K124" s="13"/>
      <c r="L124" s="3"/>
      <c r="U124" s="99"/>
    </row>
    <row r="125" spans="1:21" ht="20.100000000000001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3"/>
      <c r="U125" s="99"/>
    </row>
    <row r="126" spans="1:21" ht="20.100000000000001" customHeight="1">
      <c r="A126" s="75" t="str">
        <f>$A$124&amp;"."&amp;1</f>
        <v>A.4.1</v>
      </c>
      <c r="B126" s="12" t="s">
        <v>258</v>
      </c>
      <c r="C126" s="12"/>
      <c r="D126" s="12"/>
      <c r="E126" s="12"/>
      <c r="F126" s="12"/>
      <c r="G126" s="12"/>
      <c r="H126" s="12"/>
      <c r="I126" s="12"/>
      <c r="J126" s="126"/>
      <c r="K126" s="12"/>
      <c r="L126" s="3"/>
      <c r="U126" s="99"/>
    </row>
    <row r="127" spans="1:21" ht="20.100000000000001" customHeight="1">
      <c r="A127" s="9" t="s">
        <v>5</v>
      </c>
      <c r="B127" s="58" t="s">
        <v>263</v>
      </c>
      <c r="C127" s="58"/>
      <c r="D127" s="58"/>
      <c r="E127" s="58"/>
      <c r="F127" s="58"/>
      <c r="G127" s="58"/>
      <c r="H127" s="58"/>
      <c r="I127" s="59" t="s">
        <v>264</v>
      </c>
      <c r="J127" s="127">
        <v>1.4</v>
      </c>
      <c r="K127" s="60" t="s">
        <v>265</v>
      </c>
      <c r="L127" s="3"/>
      <c r="U127" s="99"/>
    </row>
    <row r="128" spans="1:21" ht="20.100000000000001" customHeight="1">
      <c r="A128" s="9" t="s">
        <v>4</v>
      </c>
      <c r="B128" s="8" t="s">
        <v>259</v>
      </c>
      <c r="C128" s="8"/>
      <c r="D128" s="8"/>
      <c r="E128" s="8"/>
      <c r="F128" s="8"/>
      <c r="G128" s="8"/>
      <c r="H128" s="8"/>
      <c r="I128" s="7" t="s">
        <v>260</v>
      </c>
      <c r="J128" s="97">
        <v>0.28773533056547312</v>
      </c>
      <c r="K128" s="5" t="s">
        <v>8</v>
      </c>
      <c r="L128" s="3"/>
      <c r="U128" s="99"/>
    </row>
    <row r="129" spans="1:21" ht="20.100000000000001" customHeight="1">
      <c r="A129" s="9" t="s">
        <v>3</v>
      </c>
      <c r="B129" s="11" t="s">
        <v>261</v>
      </c>
      <c r="C129" s="11"/>
      <c r="D129" s="11"/>
      <c r="E129" s="11"/>
      <c r="F129" s="11"/>
      <c r="G129" s="11"/>
      <c r="H129" s="11"/>
      <c r="I129" s="10" t="s">
        <v>262</v>
      </c>
      <c r="J129" s="67">
        <v>1.2162355202035973</v>
      </c>
      <c r="K129" s="93" t="s">
        <v>87</v>
      </c>
      <c r="L129" s="3"/>
      <c r="U129" s="99"/>
    </row>
    <row r="130" spans="1:21" ht="20.100000000000001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3"/>
      <c r="U130" s="99"/>
    </row>
    <row r="131" spans="1:21" ht="20.100000000000001" customHeight="1">
      <c r="A131" s="75" t="str">
        <f>$A$124&amp;"."&amp;1</f>
        <v>A.4.1</v>
      </c>
      <c r="B131" s="12" t="s">
        <v>242</v>
      </c>
      <c r="C131" s="12"/>
      <c r="D131" s="12"/>
      <c r="E131" s="12"/>
      <c r="F131" s="12"/>
      <c r="G131" s="12"/>
      <c r="H131" s="12"/>
      <c r="I131" s="12"/>
      <c r="J131" s="12"/>
      <c r="K131" s="12"/>
      <c r="L131" s="3"/>
      <c r="U131" s="99"/>
    </row>
    <row r="132" spans="1:21" ht="20.100000000000001" customHeight="1">
      <c r="A132" s="9" t="s">
        <v>5</v>
      </c>
      <c r="B132" s="11" t="s">
        <v>243</v>
      </c>
      <c r="C132" s="11"/>
      <c r="D132" s="11"/>
      <c r="E132" s="11"/>
      <c r="F132" s="11"/>
      <c r="G132" s="11"/>
      <c r="H132" s="11"/>
      <c r="I132" s="10" t="s">
        <v>244</v>
      </c>
      <c r="J132" s="97">
        <v>1.8</v>
      </c>
      <c r="K132" s="93" t="s">
        <v>87</v>
      </c>
      <c r="L132" s="3"/>
      <c r="U132" s="99"/>
    </row>
    <row r="133" spans="1:21" ht="20.100000000000001" customHeight="1">
      <c r="A133" s="9" t="s">
        <v>4</v>
      </c>
      <c r="B133" s="17" t="s">
        <v>245</v>
      </c>
      <c r="C133" s="17"/>
      <c r="D133" s="17"/>
      <c r="E133" s="17"/>
      <c r="F133" s="17"/>
      <c r="G133" s="17"/>
      <c r="H133" s="17"/>
      <c r="I133" s="16" t="s">
        <v>246</v>
      </c>
      <c r="J133" s="152">
        <v>5109.9347062037868</v>
      </c>
      <c r="K133" s="15" t="s">
        <v>82</v>
      </c>
      <c r="L133" s="3"/>
      <c r="U133" s="99"/>
    </row>
    <row r="134" spans="1:21" ht="20.100000000000001" customHeight="1">
      <c r="A134" s="9" t="s">
        <v>3</v>
      </c>
      <c r="B134" s="8" t="s">
        <v>286</v>
      </c>
      <c r="C134" s="8"/>
      <c r="D134" s="8"/>
      <c r="E134" s="8"/>
      <c r="F134" s="8"/>
      <c r="G134" s="8"/>
      <c r="H134" s="8"/>
      <c r="I134" s="7" t="s">
        <v>287</v>
      </c>
      <c r="J134" s="98">
        <v>87000.000000000029</v>
      </c>
      <c r="K134" s="5" t="s">
        <v>220</v>
      </c>
      <c r="L134" s="3"/>
      <c r="U134" s="99"/>
    </row>
    <row r="135" spans="1:21" ht="20.100000000000001" customHeight="1">
      <c r="A135" s="9" t="s">
        <v>7</v>
      </c>
      <c r="B135" s="8" t="s">
        <v>288</v>
      </c>
      <c r="C135" s="8"/>
      <c r="D135" s="8"/>
      <c r="E135" s="8"/>
      <c r="F135" s="8"/>
      <c r="G135" s="8"/>
      <c r="H135" s="8"/>
      <c r="I135" s="7" t="s">
        <v>289</v>
      </c>
      <c r="J135" s="151">
        <v>290000000.00000006</v>
      </c>
      <c r="K135" s="5" t="s">
        <v>290</v>
      </c>
      <c r="L135" s="3"/>
      <c r="U135" s="99"/>
    </row>
    <row r="136" spans="1:21" ht="20.100000000000001" customHeight="1">
      <c r="A136" s="9" t="s">
        <v>6</v>
      </c>
      <c r="B136" s="11" t="s">
        <v>247</v>
      </c>
      <c r="C136" s="11"/>
      <c r="D136" s="11"/>
      <c r="E136" s="11"/>
      <c r="F136" s="11"/>
      <c r="G136" s="11"/>
      <c r="H136" s="11"/>
      <c r="I136" s="10" t="s">
        <v>248</v>
      </c>
      <c r="J136" s="152">
        <v>1420.1284185380368</v>
      </c>
      <c r="K136" s="93" t="s">
        <v>82</v>
      </c>
      <c r="L136" s="3"/>
      <c r="U136" s="99"/>
    </row>
    <row r="137" spans="1:21" ht="20.100000000000001" customHeight="1">
      <c r="A137" s="9" t="s">
        <v>32</v>
      </c>
      <c r="B137" s="8" t="s">
        <v>80</v>
      </c>
      <c r="C137" s="8"/>
      <c r="D137" s="8"/>
      <c r="E137" s="8"/>
      <c r="F137" s="8"/>
      <c r="G137" s="8"/>
      <c r="H137" s="8"/>
      <c r="I137" s="7" t="s">
        <v>81</v>
      </c>
      <c r="J137" s="62">
        <v>14366.138874432012</v>
      </c>
      <c r="K137" s="5" t="s">
        <v>82</v>
      </c>
      <c r="L137" s="3"/>
      <c r="N137" s="119"/>
      <c r="O137" s="119"/>
      <c r="P137" s="119"/>
      <c r="Q137" s="119"/>
      <c r="R137" s="119"/>
      <c r="S137" s="119"/>
    </row>
    <row r="138" spans="1:21" ht="20.100000000000001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3"/>
      <c r="U138" s="99"/>
    </row>
    <row r="139" spans="1:21" ht="20.100000000000001" customHeight="1">
      <c r="A139" s="75" t="str">
        <f>$A$124&amp;"."&amp;2</f>
        <v>A.4.2</v>
      </c>
      <c r="B139" s="126" t="s">
        <v>251</v>
      </c>
      <c r="C139" s="126"/>
      <c r="D139" s="126"/>
      <c r="E139" s="126"/>
      <c r="F139" s="126"/>
      <c r="G139" s="126"/>
      <c r="H139" s="126"/>
      <c r="I139" s="126"/>
      <c r="J139" s="126"/>
      <c r="K139" s="126"/>
      <c r="L139" s="3"/>
      <c r="U139" s="99"/>
    </row>
    <row r="140" spans="1:21" ht="20.100000000000001" customHeight="1">
      <c r="A140" s="9" t="s">
        <v>5</v>
      </c>
      <c r="B140" s="8" t="s">
        <v>252</v>
      </c>
      <c r="C140" s="8"/>
      <c r="D140" s="8"/>
      <c r="E140" s="8"/>
      <c r="F140" s="8"/>
      <c r="G140" s="8"/>
      <c r="H140" s="8"/>
      <c r="I140" s="7" t="s">
        <v>253</v>
      </c>
      <c r="J140" s="67">
        <v>0.41569140985202385</v>
      </c>
      <c r="K140" s="5" t="s">
        <v>8</v>
      </c>
      <c r="L140" s="3"/>
      <c r="U140" s="99"/>
    </row>
    <row r="141" spans="1:21" ht="20.100000000000001" customHeight="1">
      <c r="A141" s="9" t="s">
        <v>4</v>
      </c>
      <c r="B141" s="8" t="s">
        <v>249</v>
      </c>
      <c r="C141" s="8"/>
      <c r="D141" s="8"/>
      <c r="E141" s="8"/>
      <c r="F141" s="8"/>
      <c r="G141" s="8"/>
      <c r="H141" s="8"/>
      <c r="I141" s="7" t="s">
        <v>250</v>
      </c>
      <c r="J141" s="62">
        <v>10496.259974315995</v>
      </c>
      <c r="K141" s="5" t="s">
        <v>82</v>
      </c>
      <c r="L141" s="3"/>
      <c r="U141" s="99"/>
    </row>
    <row r="142" spans="1:21" ht="20.100000000000001" customHeight="1">
      <c r="A142" s="9" t="s">
        <v>3</v>
      </c>
      <c r="B142" s="8" t="s">
        <v>85</v>
      </c>
      <c r="C142" s="8"/>
      <c r="D142" s="8"/>
      <c r="E142" s="8"/>
      <c r="F142" s="8"/>
      <c r="G142" s="8"/>
      <c r="H142" s="8"/>
      <c r="I142" s="82" t="s">
        <v>86</v>
      </c>
      <c r="J142" s="6">
        <v>2.3686912204523787</v>
      </c>
      <c r="K142" s="5" t="s">
        <v>87</v>
      </c>
      <c r="L142" s="3"/>
    </row>
    <row r="143" spans="1:21" ht="20.100000000000001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3"/>
      <c r="U143" s="99"/>
    </row>
    <row r="144" spans="1:21" ht="20.100000000000001" customHeight="1">
      <c r="A144" s="75" t="str">
        <f>$A$124&amp;"."&amp;3</f>
        <v>A.4.3</v>
      </c>
      <c r="B144" s="12" t="s">
        <v>254</v>
      </c>
      <c r="C144" s="12"/>
      <c r="D144" s="12"/>
      <c r="E144" s="12"/>
      <c r="F144" s="12"/>
      <c r="G144" s="12"/>
      <c r="H144" s="12"/>
      <c r="I144" s="12"/>
      <c r="J144" s="12"/>
      <c r="K144" s="12"/>
      <c r="L144" s="3"/>
      <c r="U144" s="99"/>
    </row>
    <row r="145" spans="1:21" ht="20.100000000000001" customHeight="1">
      <c r="A145" s="9" t="s">
        <v>5</v>
      </c>
      <c r="B145" s="8" t="s">
        <v>74</v>
      </c>
      <c r="C145" s="8"/>
      <c r="D145" s="8"/>
      <c r="E145" s="8"/>
      <c r="F145" s="8"/>
      <c r="G145" s="8"/>
      <c r="H145" s="8"/>
      <c r="I145" s="7" t="s">
        <v>75</v>
      </c>
      <c r="J145" s="62">
        <v>2068.2520235998149</v>
      </c>
      <c r="K145" s="5" t="s">
        <v>9</v>
      </c>
      <c r="L145" s="3"/>
      <c r="U145" s="101"/>
    </row>
    <row r="146" spans="1:21" ht="20.100000000000001" customHeight="1">
      <c r="A146" s="9" t="s">
        <v>4</v>
      </c>
      <c r="B146" s="8" t="s">
        <v>76</v>
      </c>
      <c r="C146" s="8"/>
      <c r="D146" s="8"/>
      <c r="E146" s="8"/>
      <c r="F146" s="8"/>
      <c r="G146" s="8"/>
      <c r="H146" s="8"/>
      <c r="I146" s="7" t="s">
        <v>77</v>
      </c>
      <c r="J146" s="62">
        <v>846.88967330865705</v>
      </c>
      <c r="K146" s="5" t="s">
        <v>9</v>
      </c>
      <c r="L146" s="3"/>
      <c r="U146" s="101"/>
    </row>
    <row r="147" spans="1:21" ht="20.100000000000001" customHeight="1">
      <c r="A147" s="9" t="s">
        <v>3</v>
      </c>
      <c r="B147" s="8" t="s">
        <v>329</v>
      </c>
      <c r="C147" s="8"/>
      <c r="D147" s="8"/>
      <c r="E147" s="8"/>
      <c r="F147" s="8"/>
      <c r="G147" s="8"/>
      <c r="H147" s="8"/>
      <c r="I147" s="81" t="s">
        <v>330</v>
      </c>
      <c r="J147" s="62">
        <v>0</v>
      </c>
      <c r="K147" s="5" t="s">
        <v>9</v>
      </c>
      <c r="L147" s="3"/>
      <c r="U147" s="101"/>
    </row>
    <row r="148" spans="1:21" ht="20.100000000000001" customHeight="1">
      <c r="A148" s="9" t="s">
        <v>7</v>
      </c>
      <c r="B148" s="8" t="s">
        <v>331</v>
      </c>
      <c r="C148" s="8"/>
      <c r="D148" s="8"/>
      <c r="E148" s="8"/>
      <c r="F148" s="8"/>
      <c r="G148" s="8"/>
      <c r="H148" s="8"/>
      <c r="I148" s="81" t="s">
        <v>84</v>
      </c>
      <c r="J148" s="62">
        <v>-1221.362350291158</v>
      </c>
      <c r="K148" s="5" t="s">
        <v>9</v>
      </c>
      <c r="L148" s="3"/>
    </row>
    <row r="149" spans="1:21" ht="20.100000000000001" customHeight="1">
      <c r="A149" s="9" t="s">
        <v>6</v>
      </c>
      <c r="B149" s="8" t="s">
        <v>332</v>
      </c>
      <c r="C149" s="8"/>
      <c r="D149" s="8"/>
      <c r="E149" s="8"/>
      <c r="F149" s="8"/>
      <c r="G149" s="8"/>
      <c r="H149" s="8"/>
      <c r="I149" s="81" t="s">
        <v>333</v>
      </c>
      <c r="J149" s="62">
        <v>-1221.362350291158</v>
      </c>
      <c r="K149" s="5" t="s">
        <v>9</v>
      </c>
      <c r="L149" s="3"/>
    </row>
    <row r="150" spans="1:21" ht="20.100000000000001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3"/>
      <c r="U150" s="99"/>
    </row>
    <row r="151" spans="1:21" ht="20.100000000000001" customHeight="1">
      <c r="A151" s="75" t="str">
        <f>$A$124&amp;"."&amp;4</f>
        <v>A.4.4</v>
      </c>
      <c r="B151" s="12" t="s">
        <v>256</v>
      </c>
      <c r="C151" s="12"/>
      <c r="D151" s="12"/>
      <c r="E151" s="12"/>
      <c r="F151" s="12"/>
      <c r="G151" s="12"/>
      <c r="H151" s="12"/>
      <c r="I151" s="12"/>
      <c r="J151" s="12"/>
      <c r="K151" s="12"/>
      <c r="L151" s="3"/>
      <c r="U151" s="99"/>
    </row>
    <row r="152" spans="1:21" ht="20.100000000000001" customHeight="1">
      <c r="A152" s="9" t="s">
        <v>5</v>
      </c>
      <c r="B152" s="8" t="s">
        <v>88</v>
      </c>
      <c r="C152" s="8"/>
      <c r="D152" s="8"/>
      <c r="E152" s="8"/>
      <c r="F152" s="8"/>
      <c r="G152" s="8"/>
      <c r="H152" s="8"/>
      <c r="I152" s="81" t="s">
        <v>89</v>
      </c>
      <c r="J152" s="67">
        <v>0.12086305665036055</v>
      </c>
      <c r="K152" s="5" t="s">
        <v>87</v>
      </c>
      <c r="L152" s="3"/>
    </row>
    <row r="153" spans="1:21" ht="20.100000000000001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3"/>
      <c r="U153" s="99"/>
    </row>
    <row r="154" spans="1:21" ht="20.100000000000001" customHeight="1">
      <c r="A154" s="75" t="str">
        <f>$A$124&amp;"."&amp;5</f>
        <v>A.4.5</v>
      </c>
      <c r="B154" s="12" t="s">
        <v>257</v>
      </c>
      <c r="C154" s="12"/>
      <c r="D154" s="12"/>
      <c r="E154" s="12"/>
      <c r="F154" s="12"/>
      <c r="G154" s="12"/>
      <c r="H154" s="12"/>
      <c r="I154" s="12"/>
      <c r="J154" s="12"/>
      <c r="K154" s="12"/>
      <c r="L154" s="3"/>
      <c r="M154" s="70" t="s">
        <v>235</v>
      </c>
      <c r="N154" s="78" t="s">
        <v>228</v>
      </c>
      <c r="O154" s="78">
        <v>1</v>
      </c>
      <c r="P154" s="78" t="s">
        <v>229</v>
      </c>
      <c r="Q154" s="78" t="s">
        <v>230</v>
      </c>
      <c r="R154" s="78" t="s">
        <v>231</v>
      </c>
      <c r="S154" s="78" t="s">
        <v>232</v>
      </c>
      <c r="U154" s="99"/>
    </row>
    <row r="155" spans="1:21" ht="20.100000000000001" customHeight="1">
      <c r="A155" s="9" t="s">
        <v>5</v>
      </c>
      <c r="B155" s="8" t="s">
        <v>223</v>
      </c>
      <c r="C155" s="8"/>
      <c r="D155" s="8"/>
      <c r="E155" s="8"/>
      <c r="F155" s="8"/>
      <c r="G155" s="8"/>
      <c r="H155" s="8"/>
      <c r="I155" s="7" t="s">
        <v>236</v>
      </c>
      <c r="J155" s="62">
        <v>1710.5339527007882</v>
      </c>
      <c r="K155" s="5" t="s">
        <v>224</v>
      </c>
      <c r="L155" s="3"/>
      <c r="M155" s="70" t="s">
        <v>234</v>
      </c>
      <c r="N155" s="102"/>
      <c r="O155" s="102"/>
      <c r="P155" s="102"/>
      <c r="Q155" s="102"/>
      <c r="R155" s="102"/>
      <c r="S155" s="122">
        <f>1/bolt.axial_stiffness</f>
        <v>5.846127745205436E-4</v>
      </c>
      <c r="T155" s="1" t="s">
        <v>226</v>
      </c>
      <c r="U155" s="99"/>
    </row>
    <row r="156" spans="1:21" ht="20.100000000000001" customHeight="1">
      <c r="A156" s="9" t="s">
        <v>4</v>
      </c>
      <c r="B156" s="8" t="s">
        <v>78</v>
      </c>
      <c r="C156" s="8"/>
      <c r="D156" s="8"/>
      <c r="E156" s="8"/>
      <c r="F156" s="8"/>
      <c r="G156" s="8"/>
      <c r="H156" s="8"/>
      <c r="I156" s="7" t="s">
        <v>238</v>
      </c>
      <c r="J156" s="62">
        <v>600.85776552878792</v>
      </c>
      <c r="K156" s="5" t="s">
        <v>79</v>
      </c>
      <c r="L156" s="3"/>
      <c r="M156" s="70" t="s">
        <v>233</v>
      </c>
      <c r="N156" s="120">
        <v>94.734999999999999</v>
      </c>
      <c r="O156" s="120">
        <v>780.97299999999996</v>
      </c>
      <c r="P156" s="120">
        <v>452.98</v>
      </c>
      <c r="Q156" s="120">
        <v>139.38</v>
      </c>
      <c r="R156" s="120">
        <v>75.787999999999997</v>
      </c>
      <c r="S156" s="121">
        <f>1/(bolt.bending_stiffness/1000000)</f>
        <v>1664.2873860837014</v>
      </c>
      <c r="T156" s="1" t="s">
        <v>225</v>
      </c>
      <c r="U156" s="99"/>
    </row>
    <row r="157" spans="1:21" ht="20.100000000000001" customHeight="1">
      <c r="A157" s="9" t="s">
        <v>3</v>
      </c>
      <c r="B157" s="8" t="s">
        <v>285</v>
      </c>
      <c r="C157" s="8"/>
      <c r="D157" s="8"/>
      <c r="E157" s="8"/>
      <c r="F157" s="8"/>
      <c r="G157" s="8"/>
      <c r="H157" s="8"/>
      <c r="I157" s="7" t="s">
        <v>221</v>
      </c>
      <c r="J157" s="62">
        <v>4344.0537979949813</v>
      </c>
      <c r="K157" s="5" t="s">
        <v>220</v>
      </c>
      <c r="L157" s="3"/>
      <c r="N157" s="133"/>
      <c r="O157" s="133"/>
      <c r="P157" s="133"/>
      <c r="Q157" s="133"/>
      <c r="R157" s="133"/>
      <c r="U157" s="99"/>
    </row>
    <row r="158" spans="1:21" ht="20.100000000000001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3"/>
      <c r="U158" s="99"/>
    </row>
    <row r="159" spans="1:21" ht="20.100000000000001" customHeight="1">
      <c r="A159" s="75" t="str">
        <f>$A$124&amp;"."&amp;6</f>
        <v>A.4.6</v>
      </c>
      <c r="B159" s="12" t="s">
        <v>241</v>
      </c>
      <c r="C159" s="12"/>
      <c r="D159" s="12"/>
      <c r="E159" s="12"/>
      <c r="F159" s="12"/>
      <c r="G159" s="12"/>
      <c r="H159" s="12"/>
      <c r="I159" s="12"/>
      <c r="J159" s="12"/>
      <c r="K159" s="12"/>
      <c r="L159" s="3"/>
      <c r="U159" s="99"/>
    </row>
    <row r="160" spans="1:21" ht="20.100000000000001" customHeight="1">
      <c r="A160" s="9" t="s">
        <v>5</v>
      </c>
      <c r="B160" s="11" t="s">
        <v>239</v>
      </c>
      <c r="C160" s="11"/>
      <c r="D160" s="11"/>
      <c r="E160" s="11"/>
      <c r="F160" s="11"/>
      <c r="G160" s="11"/>
      <c r="H160" s="11"/>
      <c r="I160" s="10" t="s">
        <v>240</v>
      </c>
      <c r="J160" s="92">
        <v>29.999999999999996</v>
      </c>
      <c r="K160" s="93" t="s">
        <v>217</v>
      </c>
      <c r="L160" s="3"/>
      <c r="U160" s="99"/>
    </row>
    <row r="161" spans="1:21" ht="20.100000000000001" customHeight="1">
      <c r="A161" s="9" t="s">
        <v>4</v>
      </c>
      <c r="B161" s="8" t="s">
        <v>72</v>
      </c>
      <c r="C161" s="8"/>
      <c r="D161" s="8"/>
      <c r="E161" s="8"/>
      <c r="F161" s="8"/>
      <c r="G161" s="8"/>
      <c r="H161" s="8"/>
      <c r="I161" s="7" t="s">
        <v>73</v>
      </c>
      <c r="J161" s="64">
        <v>225.55390100553569</v>
      </c>
      <c r="K161" s="5" t="s">
        <v>8</v>
      </c>
      <c r="L161" s="3"/>
      <c r="U161" s="100"/>
    </row>
    <row r="162" spans="1:21" ht="20.100000000000001" customHeight="1">
      <c r="A162" s="9" t="s">
        <v>3</v>
      </c>
      <c r="B162" s="8" t="s">
        <v>299</v>
      </c>
      <c r="C162" s="8"/>
      <c r="D162" s="8"/>
      <c r="E162" s="8"/>
      <c r="F162" s="8"/>
      <c r="G162" s="8"/>
      <c r="H162" s="8"/>
      <c r="I162" s="7" t="s">
        <v>298</v>
      </c>
      <c r="J162" s="64">
        <v>112.77695050276785</v>
      </c>
      <c r="K162" s="5" t="s">
        <v>8</v>
      </c>
      <c r="L162" s="3"/>
      <c r="U162" s="100"/>
    </row>
    <row r="163" spans="1:21" ht="20.100000000000001" customHeight="1">
      <c r="A163" s="9" t="s">
        <v>7</v>
      </c>
      <c r="B163" s="8" t="s">
        <v>300</v>
      </c>
      <c r="C163" s="8"/>
      <c r="D163" s="8"/>
      <c r="E163" s="8"/>
      <c r="F163" s="8"/>
      <c r="G163" s="8"/>
      <c r="H163" s="8"/>
      <c r="I163" s="7" t="s">
        <v>301</v>
      </c>
      <c r="J163" s="151">
        <v>129398710.74285959</v>
      </c>
      <c r="K163" s="5" t="s">
        <v>290</v>
      </c>
      <c r="L163" s="3"/>
      <c r="U163" s="100"/>
    </row>
    <row r="164" spans="1:21" ht="20.100000000000001" customHeight="1">
      <c r="A164" s="9" t="s">
        <v>6</v>
      </c>
      <c r="B164" s="8" t="s">
        <v>227</v>
      </c>
      <c r="C164" s="8"/>
      <c r="D164" s="8"/>
      <c r="E164" s="8"/>
      <c r="F164" s="8"/>
      <c r="G164" s="8"/>
      <c r="H164" s="8"/>
      <c r="I164" s="7" t="s">
        <v>237</v>
      </c>
      <c r="J164" s="92">
        <v>10310.000230734646</v>
      </c>
      <c r="K164" s="5" t="s">
        <v>224</v>
      </c>
      <c r="L164" s="3"/>
      <c r="N164" s="123"/>
      <c r="O164" s="123"/>
      <c r="P164" s="123"/>
      <c r="Q164" s="123"/>
      <c r="R164" s="123"/>
      <c r="S164" s="124"/>
    </row>
    <row r="165" spans="1:21" ht="20.100000000000001" customHeight="1">
      <c r="A165" s="9" t="s">
        <v>32</v>
      </c>
      <c r="B165" s="17" t="s">
        <v>90</v>
      </c>
      <c r="C165" s="17"/>
      <c r="D165" s="17"/>
      <c r="E165" s="17"/>
      <c r="F165" s="17"/>
      <c r="G165" s="17"/>
      <c r="H165" s="17"/>
      <c r="I165" s="83" t="s">
        <v>91</v>
      </c>
      <c r="J165" s="84">
        <v>7.5528578582844563E-2</v>
      </c>
      <c r="K165" s="15" t="s">
        <v>87</v>
      </c>
      <c r="L165" s="3"/>
    </row>
    <row r="166" spans="1:21" ht="20.100000000000001" customHeight="1">
      <c r="A166" s="9" t="s">
        <v>35</v>
      </c>
      <c r="B166" s="8" t="s">
        <v>92</v>
      </c>
      <c r="C166" s="8"/>
      <c r="D166" s="8"/>
      <c r="E166" s="8"/>
      <c r="F166" s="8"/>
      <c r="G166" s="8"/>
      <c r="H166" s="8"/>
      <c r="I166" s="7" t="s">
        <v>93</v>
      </c>
      <c r="J166" s="66">
        <v>0.35210840400989052</v>
      </c>
      <c r="K166" s="5" t="s">
        <v>87</v>
      </c>
      <c r="L166" s="3"/>
    </row>
    <row r="167" spans="1:21" ht="20.100000000000001" customHeight="1">
      <c r="A167" s="9"/>
      <c r="B167" s="58"/>
      <c r="C167" s="58"/>
      <c r="D167" s="58"/>
      <c r="E167" s="58"/>
      <c r="F167" s="58"/>
      <c r="G167" s="58"/>
      <c r="H167" s="58"/>
      <c r="I167" s="59"/>
      <c r="J167" s="125"/>
      <c r="K167" s="60"/>
      <c r="L167" s="3"/>
    </row>
    <row r="168" spans="1:21" ht="20.100000000000001" customHeight="1">
      <c r="A168" s="9"/>
      <c r="B168" s="58"/>
      <c r="C168" s="58"/>
      <c r="D168" s="58"/>
      <c r="E168" s="58"/>
      <c r="F168" s="58"/>
      <c r="G168" s="58"/>
      <c r="H168" s="58"/>
      <c r="I168" s="59"/>
      <c r="J168" s="125"/>
      <c r="K168" s="60"/>
      <c r="L168" s="3"/>
    </row>
    <row r="169" spans="1:21" ht="20.100000000000001" customHeight="1">
      <c r="A169" s="9"/>
      <c r="B169" s="58"/>
      <c r="C169" s="58"/>
      <c r="D169" s="58"/>
      <c r="E169" s="58"/>
      <c r="F169" s="58"/>
      <c r="G169" s="58"/>
      <c r="H169" s="58"/>
      <c r="I169" s="59"/>
      <c r="J169" s="125"/>
      <c r="K169" s="60"/>
      <c r="L169" s="3"/>
    </row>
    <row r="170" spans="1:21" ht="20.100000000000001" customHeight="1">
      <c r="A170" s="9"/>
      <c r="B170" s="58"/>
      <c r="C170" s="58"/>
      <c r="D170" s="58"/>
      <c r="E170" s="58"/>
      <c r="F170" s="58"/>
      <c r="G170" s="58"/>
      <c r="H170" s="58"/>
      <c r="I170" s="59"/>
      <c r="J170" s="125"/>
      <c r="K170" s="60"/>
      <c r="L170" s="3"/>
    </row>
    <row r="171" spans="1:21" ht="20.100000000000001" customHeight="1">
      <c r="A171" s="9"/>
      <c r="B171" s="58"/>
      <c r="C171" s="58"/>
      <c r="D171" s="58"/>
      <c r="E171" s="58"/>
      <c r="F171" s="58"/>
      <c r="G171" s="58"/>
      <c r="H171" s="58"/>
      <c r="I171" s="59"/>
      <c r="J171" s="125"/>
      <c r="K171" s="60"/>
      <c r="L171" s="3"/>
    </row>
    <row r="172" spans="1:21" ht="20.100000000000001" customHeight="1">
      <c r="A172" s="9"/>
      <c r="B172" s="58"/>
      <c r="C172" s="58"/>
      <c r="D172" s="58"/>
      <c r="E172" s="58"/>
      <c r="F172" s="58"/>
      <c r="G172" s="58"/>
      <c r="H172" s="58"/>
      <c r="I172" s="59"/>
      <c r="J172" s="125"/>
      <c r="K172" s="60"/>
      <c r="L172" s="3"/>
    </row>
    <row r="173" spans="1:21" ht="20.100000000000001" customHeight="1">
      <c r="A173" s="9"/>
      <c r="B173" s="58"/>
      <c r="C173" s="58"/>
      <c r="D173" s="58"/>
      <c r="E173" s="58"/>
      <c r="F173" s="58"/>
      <c r="G173" s="58"/>
      <c r="H173" s="58"/>
      <c r="I173" s="59"/>
      <c r="J173" s="125"/>
      <c r="K173" s="60"/>
      <c r="L173" s="3"/>
    </row>
    <row r="174" spans="1:21" ht="20.100000000000001" customHeight="1">
      <c r="A174" s="9"/>
      <c r="B174" s="58"/>
      <c r="C174" s="58"/>
      <c r="D174" s="58"/>
      <c r="E174" s="58"/>
      <c r="F174" s="58"/>
      <c r="G174" s="58"/>
      <c r="H174" s="58"/>
      <c r="I174" s="59"/>
      <c r="J174" s="63"/>
      <c r="K174" s="60"/>
      <c r="L174" s="3"/>
    </row>
    <row r="175" spans="1:21" ht="20.100000000000001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3"/>
    </row>
    <row r="176" spans="1:21" ht="20.100000000000001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3"/>
    </row>
    <row r="180" spans="2:4" ht="13.2">
      <c r="B180" s="69"/>
      <c r="C180" s="69"/>
      <c r="D180" s="69"/>
    </row>
  </sheetData>
  <mergeCells count="20">
    <mergeCell ref="B28:K28"/>
    <mergeCell ref="A3:K3"/>
    <mergeCell ref="B4:G4"/>
    <mergeCell ref="B5:G5"/>
    <mergeCell ref="B6:G6"/>
    <mergeCell ref="B7:G7"/>
    <mergeCell ref="B8:G8"/>
    <mergeCell ref="B9:G9"/>
    <mergeCell ref="B18:C18"/>
    <mergeCell ref="D18:K18"/>
    <mergeCell ref="D13:K13"/>
    <mergeCell ref="B14:C14"/>
    <mergeCell ref="D14:K14"/>
    <mergeCell ref="B16:C16"/>
    <mergeCell ref="D16:K16"/>
    <mergeCell ref="B17:C17"/>
    <mergeCell ref="D17:K17"/>
    <mergeCell ref="B15:C15"/>
    <mergeCell ref="D15:K15"/>
    <mergeCell ref="B13:C13"/>
  </mergeCells>
  <conditionalFormatting sqref="K64">
    <cfRule type="cellIs" dxfId="27" priority="5" stopIfTrue="1" operator="between">
      <formula>0</formula>
      <formula>1</formula>
    </cfRule>
  </conditionalFormatting>
  <conditionalFormatting sqref="K94">
    <cfRule type="cellIs" dxfId="26" priority="2" stopIfTrue="1" operator="between">
      <formula>0</formula>
      <formula>1</formula>
    </cfRule>
  </conditionalFormatting>
  <conditionalFormatting sqref="K124">
    <cfRule type="cellIs" dxfId="25" priority="1" stopIfTrue="1" operator="between">
      <formula>0</formula>
      <formula>1</formula>
    </cfRule>
  </conditionalFormatting>
  <printOptions horizontalCentered="1"/>
  <pageMargins left="0.75" right="0.75" top="0.75" bottom="0.5" header="0.3" footer="0.3"/>
  <pageSetup paperSize="9" scale="80" fitToHeight="0" orientation="portrait" r:id="rId1"/>
  <headerFooter>
    <oddHeader>&amp;L&amp;G&amp;C&amp;"Consolas,Bold"&amp;10&amp;K00-047TITLE&amp;R&amp;"Consolas,Bold"&amp;10&amp;K00-048Rev. X</oddHeader>
    <oddFooter>&amp;R&amp;"Consolas,Bold"&amp;10&amp;K00-048Page &amp;P of &amp;N</oddFooter>
  </headerFooter>
  <drawing r:id="rId2"/>
  <legacyDrawingHF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D58728-A6E7-4515-9EF6-E21BB5BD08C0}">
  <sheetPr codeName="Sheet2">
    <pageSetUpPr fitToPage="1"/>
  </sheetPr>
  <dimension ref="A1:DJ180"/>
  <sheetViews>
    <sheetView showGridLines="0" zoomScaleNormal="100" workbookViewId="0">
      <pane ySplit="1" topLeftCell="A69" activePane="bottomLeft" state="frozen"/>
      <selection pane="bottomLeft" activeCell="J85" sqref="J85"/>
    </sheetView>
  </sheetViews>
  <sheetFormatPr defaultColWidth="8.6640625" defaultRowHeight="20.100000000000001" customHeight="1" outlineLevelRow="1"/>
  <cols>
    <col min="1" max="11" width="9.6640625" style="2" customWidth="1"/>
    <col min="12" max="12" width="2.6640625" style="1" customWidth="1"/>
    <col min="13" max="13" width="6.6640625" style="1" customWidth="1"/>
    <col min="14" max="19" width="8.6640625" style="1" customWidth="1"/>
    <col min="20" max="16384" width="8.6640625" style="1"/>
  </cols>
  <sheetData>
    <row r="1" spans="1:15" s="52" customFormat="1" ht="20.100000000000001" customHeight="1">
      <c r="A1" s="57"/>
      <c r="B1" s="56" t="s">
        <v>20</v>
      </c>
      <c r="C1" s="56"/>
      <c r="D1" s="56"/>
      <c r="E1" s="56"/>
      <c r="F1" s="56"/>
      <c r="G1" s="56"/>
      <c r="H1" s="55"/>
      <c r="I1" s="55"/>
      <c r="J1" s="54" t="s">
        <v>19</v>
      </c>
      <c r="K1" s="53" t="s">
        <v>18</v>
      </c>
    </row>
    <row r="2" spans="1:15" ht="20.100000000000001" hidden="1" customHeight="1" outlineLevel="1">
      <c r="A2" s="51"/>
      <c r="B2" s="51"/>
      <c r="C2" s="1"/>
      <c r="D2" s="50"/>
      <c r="E2" s="50"/>
      <c r="F2" s="50"/>
      <c r="G2" s="50"/>
      <c r="H2" s="50"/>
      <c r="I2" s="50"/>
      <c r="J2" s="49"/>
      <c r="K2" s="48"/>
    </row>
    <row r="3" spans="1:15" ht="54.75" hidden="1" customHeight="1" outlineLevel="1">
      <c r="A3" s="162" t="s">
        <v>17</v>
      </c>
      <c r="B3" s="163"/>
      <c r="C3" s="163"/>
      <c r="D3" s="163"/>
      <c r="E3" s="163"/>
      <c r="F3" s="163"/>
      <c r="G3" s="163"/>
      <c r="H3" s="163"/>
      <c r="I3" s="163"/>
      <c r="J3" s="163"/>
      <c r="K3" s="163"/>
    </row>
    <row r="4" spans="1:15" s="46" customFormat="1" ht="20.100000000000001" hidden="1" customHeight="1" outlineLevel="1">
      <c r="A4" s="47" t="s">
        <v>16</v>
      </c>
      <c r="B4" s="164" t="s">
        <v>15</v>
      </c>
      <c r="C4" s="164"/>
      <c r="D4" s="164"/>
      <c r="E4" s="164"/>
      <c r="F4" s="164"/>
      <c r="G4" s="164"/>
      <c r="H4" s="47" t="s">
        <v>14</v>
      </c>
      <c r="I4" s="47" t="s">
        <v>13</v>
      </c>
      <c r="J4" s="47" t="s">
        <v>12</v>
      </c>
      <c r="K4" s="47" t="s">
        <v>11</v>
      </c>
    </row>
    <row r="5" spans="1:15" s="41" customFormat="1" ht="20.100000000000001" hidden="1" customHeight="1" outlineLevel="1">
      <c r="A5" s="45"/>
      <c r="B5" s="156"/>
      <c r="C5" s="157"/>
      <c r="D5" s="157"/>
      <c r="E5" s="157"/>
      <c r="F5" s="157"/>
      <c r="G5" s="158"/>
      <c r="H5" s="44"/>
      <c r="I5" s="43"/>
      <c r="J5" s="43"/>
      <c r="K5" s="42"/>
    </row>
    <row r="6" spans="1:15" s="41" customFormat="1" ht="20.100000000000001" hidden="1" customHeight="1" outlineLevel="1">
      <c r="A6" s="45"/>
      <c r="B6" s="156"/>
      <c r="C6" s="157"/>
      <c r="D6" s="157"/>
      <c r="E6" s="157"/>
      <c r="F6" s="157"/>
      <c r="G6" s="158"/>
      <c r="H6" s="44"/>
      <c r="I6" s="43"/>
      <c r="J6" s="43"/>
      <c r="K6" s="42"/>
    </row>
    <row r="7" spans="1:15" s="41" customFormat="1" ht="20.100000000000001" hidden="1" customHeight="1" outlineLevel="1">
      <c r="A7" s="45"/>
      <c r="B7" s="156"/>
      <c r="C7" s="157"/>
      <c r="D7" s="157"/>
      <c r="E7" s="157"/>
      <c r="F7" s="157"/>
      <c r="G7" s="158"/>
      <c r="H7" s="44"/>
      <c r="I7" s="43"/>
      <c r="J7" s="43"/>
      <c r="K7" s="42"/>
    </row>
    <row r="8" spans="1:15" s="41" customFormat="1" ht="20.100000000000001" hidden="1" customHeight="1" outlineLevel="1">
      <c r="A8" s="45"/>
      <c r="B8" s="156"/>
      <c r="C8" s="157"/>
      <c r="D8" s="157"/>
      <c r="E8" s="157"/>
      <c r="F8" s="157"/>
      <c r="G8" s="158"/>
      <c r="H8" s="44"/>
      <c r="I8" s="43"/>
      <c r="J8" s="43"/>
      <c r="K8" s="42"/>
    </row>
    <row r="9" spans="1:15" s="41" customFormat="1" ht="20.100000000000001" hidden="1" customHeight="1" outlineLevel="1">
      <c r="A9" s="45"/>
      <c r="B9" s="156"/>
      <c r="C9" s="157"/>
      <c r="D9" s="157"/>
      <c r="E9" s="157"/>
      <c r="F9" s="157"/>
      <c r="G9" s="158"/>
      <c r="H9" s="44"/>
      <c r="I9" s="43"/>
      <c r="J9" s="43"/>
      <c r="K9" s="42"/>
    </row>
    <row r="10" spans="1:15" ht="20.100000000000001" hidden="1" customHeight="1" outlineLevel="1">
      <c r="B10" s="40"/>
      <c r="J10" s="39"/>
      <c r="K10" s="38"/>
    </row>
    <row r="11" spans="1:15" s="34" customFormat="1" ht="39.9" customHeight="1" collapsed="1" thickBot="1">
      <c r="A11" s="37" t="s">
        <v>296</v>
      </c>
      <c r="B11" s="37" t="s">
        <v>292</v>
      </c>
      <c r="C11" s="37"/>
      <c r="D11" s="37"/>
      <c r="E11" s="37"/>
      <c r="F11" s="37"/>
      <c r="G11" s="37"/>
      <c r="H11" s="37"/>
      <c r="I11" s="37"/>
      <c r="J11" s="37"/>
      <c r="K11" s="36"/>
      <c r="L11" s="35"/>
      <c r="M11" s="25"/>
      <c r="N11" s="25"/>
      <c r="O11" s="25"/>
    </row>
    <row r="12" spans="1:15" ht="20.100000000000001" customHeight="1" thickTop="1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3"/>
    </row>
    <row r="13" spans="1:15" s="85" customFormat="1" ht="20.100000000000001" customHeight="1" outlineLevel="1">
      <c r="A13" s="87"/>
      <c r="B13" s="159" t="s">
        <v>102</v>
      </c>
      <c r="C13" s="159"/>
      <c r="D13" s="161" t="str">
        <f>Gap30deg!D13</f>
        <v>SP2200052</v>
      </c>
      <c r="E13" s="161"/>
      <c r="F13" s="161"/>
      <c r="G13" s="161"/>
      <c r="H13" s="161"/>
      <c r="I13" s="161"/>
      <c r="J13" s="161"/>
      <c r="K13" s="161"/>
      <c r="L13" s="86"/>
    </row>
    <row r="14" spans="1:15" s="85" customFormat="1" ht="20.100000000000001" customHeight="1" outlineLevel="1">
      <c r="A14" s="87"/>
      <c r="B14" s="159" t="s">
        <v>101</v>
      </c>
      <c r="C14" s="159"/>
      <c r="D14" s="161" t="str">
        <f>Gap30deg!D14</f>
        <v>Stichting GROW</v>
      </c>
      <c r="E14" s="161"/>
      <c r="F14" s="161"/>
      <c r="G14" s="161"/>
      <c r="H14" s="161"/>
      <c r="I14" s="161"/>
      <c r="J14" s="161"/>
      <c r="K14" s="161"/>
      <c r="L14" s="86"/>
    </row>
    <row r="15" spans="1:15" s="85" customFormat="1" ht="20.100000000000001" customHeight="1" outlineLevel="1">
      <c r="A15" s="87"/>
      <c r="B15" s="159" t="s">
        <v>100</v>
      </c>
      <c r="C15" s="159"/>
      <c r="D15" s="161" t="str">
        <f>Gap30deg!D15</f>
        <v>Bolt and Beautiful</v>
      </c>
      <c r="E15" s="161"/>
      <c r="F15" s="161"/>
      <c r="G15" s="161"/>
      <c r="H15" s="161"/>
      <c r="I15" s="161"/>
      <c r="J15" s="161"/>
      <c r="K15" s="161"/>
      <c r="L15" s="86"/>
    </row>
    <row r="16" spans="1:15" s="85" customFormat="1" ht="20.100000000000001" customHeight="1" outlineLevel="1">
      <c r="A16" s="87"/>
      <c r="B16" s="159" t="s">
        <v>99</v>
      </c>
      <c r="C16" s="159"/>
      <c r="D16" s="161" t="str">
        <f>Title</f>
        <v>Flange Segment Analytical Model for 60° gap size</v>
      </c>
      <c r="E16" s="161"/>
      <c r="F16" s="161"/>
      <c r="G16" s="161"/>
      <c r="H16" s="161"/>
      <c r="I16" s="161"/>
      <c r="J16" s="161"/>
      <c r="K16" s="161"/>
      <c r="L16" s="86"/>
      <c r="M16" s="88"/>
    </row>
    <row r="17" spans="1:22" s="85" customFormat="1" ht="20.100000000000001" customHeight="1" outlineLevel="1">
      <c r="A17" s="87"/>
      <c r="B17" s="159" t="s">
        <v>98</v>
      </c>
      <c r="C17" s="159"/>
      <c r="D17" s="161" t="str">
        <f>Gap30deg!D17</f>
        <v>0.10</v>
      </c>
      <c r="E17" s="161"/>
      <c r="F17" s="161"/>
      <c r="G17" s="161"/>
      <c r="H17" s="161"/>
      <c r="I17" s="161"/>
      <c r="J17" s="161"/>
      <c r="K17" s="161"/>
      <c r="L17" s="86"/>
    </row>
    <row r="18" spans="1:22" s="85" customFormat="1" ht="20.100000000000001" customHeight="1" outlineLevel="1">
      <c r="A18" s="87"/>
      <c r="B18" s="159" t="s">
        <v>97</v>
      </c>
      <c r="C18" s="159"/>
      <c r="D18" s="160">
        <f>Gap30deg!D18</f>
        <v>45432</v>
      </c>
      <c r="E18" s="160"/>
      <c r="F18" s="160"/>
      <c r="G18" s="160"/>
      <c r="H18" s="160"/>
      <c r="I18" s="160"/>
      <c r="J18" s="160"/>
      <c r="K18" s="160"/>
      <c r="L18" s="86"/>
    </row>
    <row r="19" spans="1:22" s="85" customFormat="1" ht="20.100000000000001" customHeight="1" outlineLevel="1">
      <c r="A19" s="87"/>
      <c r="B19" s="87"/>
      <c r="C19" s="87"/>
      <c r="D19" s="87"/>
      <c r="E19" s="87"/>
      <c r="F19" s="87"/>
      <c r="G19" s="87"/>
      <c r="H19" s="87"/>
      <c r="I19" s="87"/>
      <c r="J19" s="87"/>
      <c r="K19" s="87"/>
      <c r="L19" s="86"/>
    </row>
    <row r="20" spans="1:22" s="85" customFormat="1" ht="20.100000000000001" customHeight="1">
      <c r="A20" s="87"/>
      <c r="B20" s="87"/>
      <c r="C20" s="87"/>
      <c r="D20" s="87"/>
      <c r="E20" s="87"/>
      <c r="F20" s="87"/>
      <c r="G20" s="87"/>
      <c r="H20" s="87"/>
      <c r="I20" s="87"/>
      <c r="J20" s="87"/>
      <c r="K20" s="87"/>
      <c r="L20" s="86"/>
    </row>
    <row r="21" spans="1:22" ht="20.100000000000001" customHeight="1" thickBot="1">
      <c r="A21" s="14" t="str">
        <f>$A$11&amp;"."&amp;1</f>
        <v>B.1</v>
      </c>
      <c r="B21" s="14" t="s">
        <v>21</v>
      </c>
      <c r="C21" s="14"/>
      <c r="D21" s="14"/>
      <c r="E21" s="14"/>
      <c r="F21" s="14"/>
      <c r="G21" s="14"/>
      <c r="H21" s="14"/>
      <c r="I21" s="14"/>
      <c r="J21" s="14"/>
      <c r="K21" s="14"/>
      <c r="L21" s="3"/>
    </row>
    <row r="22" spans="1:22" ht="20.100000000000001" customHeight="1" outlineLevel="1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3"/>
    </row>
    <row r="23" spans="1:22" s="18" customFormat="1" ht="20.100000000000001" customHeight="1" outlineLevel="1">
      <c r="A23" s="21"/>
      <c r="B23" s="28"/>
      <c r="C23" s="27"/>
      <c r="D23" s="27"/>
      <c r="E23" s="27"/>
      <c r="F23" s="27"/>
      <c r="G23" s="27"/>
      <c r="H23" s="27"/>
      <c r="I23" s="27"/>
      <c r="J23" s="27"/>
      <c r="K23" s="26"/>
      <c r="L23" s="20"/>
      <c r="M23" s="25" t="s">
        <v>10</v>
      </c>
      <c r="N23" s="25"/>
      <c r="O23" s="25"/>
      <c r="P23" s="25"/>
      <c r="Q23" s="25"/>
      <c r="R23" s="25"/>
      <c r="S23" s="25"/>
      <c r="T23" s="25"/>
      <c r="U23" s="25"/>
      <c r="V23" s="25"/>
    </row>
    <row r="24" spans="1:22" s="18" customFormat="1" ht="20.100000000000001" customHeight="1" outlineLevel="1">
      <c r="A24" s="21"/>
      <c r="B24" s="24"/>
      <c r="C24" s="23"/>
      <c r="D24" s="23"/>
      <c r="E24" s="23"/>
      <c r="F24" s="23"/>
      <c r="G24" s="23"/>
      <c r="H24" s="23"/>
      <c r="I24" s="23"/>
      <c r="J24" s="23"/>
      <c r="K24" s="22"/>
      <c r="L24" s="20"/>
      <c r="M24" s="19"/>
      <c r="N24" s="19"/>
      <c r="O24" s="19"/>
      <c r="P24" s="19"/>
      <c r="Q24" s="19"/>
      <c r="R24" s="19"/>
      <c r="S24" s="19"/>
      <c r="T24" s="19"/>
      <c r="U24" s="19"/>
      <c r="V24" s="19"/>
    </row>
    <row r="25" spans="1:22" s="18" customFormat="1" ht="20.100000000000001" customHeight="1" outlineLevel="1">
      <c r="A25" s="21"/>
      <c r="B25" s="24"/>
      <c r="C25" s="23"/>
      <c r="D25" s="23"/>
      <c r="E25" s="23"/>
      <c r="F25" s="23"/>
      <c r="G25" s="23"/>
      <c r="H25" s="23"/>
      <c r="I25" s="23"/>
      <c r="J25" s="23"/>
      <c r="K25" s="22"/>
      <c r="L25" s="20"/>
      <c r="M25" s="19"/>
      <c r="N25" s="19"/>
      <c r="O25" s="19"/>
      <c r="P25" s="19"/>
      <c r="Q25" s="19"/>
      <c r="R25" s="19"/>
      <c r="S25" s="19"/>
      <c r="T25" s="19"/>
      <c r="U25" s="19"/>
      <c r="V25" s="19"/>
    </row>
    <row r="26" spans="1:22" s="18" customFormat="1" ht="20.100000000000001" customHeight="1" outlineLevel="1">
      <c r="A26" s="21"/>
      <c r="B26" s="24"/>
      <c r="C26" s="23"/>
      <c r="D26" s="23"/>
      <c r="E26" s="23"/>
      <c r="F26" s="23"/>
      <c r="G26" s="23"/>
      <c r="H26" s="23"/>
      <c r="I26" s="23"/>
      <c r="J26" s="23"/>
      <c r="K26" s="22"/>
      <c r="L26" s="20"/>
      <c r="M26" s="19"/>
      <c r="N26" s="19"/>
      <c r="O26" s="19"/>
      <c r="P26" s="19"/>
      <c r="Q26" s="19"/>
      <c r="R26" s="19"/>
      <c r="S26" s="19"/>
      <c r="T26" s="19"/>
      <c r="U26" s="19"/>
      <c r="V26" s="19"/>
    </row>
    <row r="27" spans="1:22" s="18" customFormat="1" ht="20.100000000000001" customHeight="1" outlineLevel="1">
      <c r="A27" s="21"/>
      <c r="B27" s="24"/>
      <c r="C27" s="23"/>
      <c r="D27" s="23"/>
      <c r="E27" s="23"/>
      <c r="F27" s="23"/>
      <c r="G27" s="23"/>
      <c r="H27" s="23"/>
      <c r="I27" s="23"/>
      <c r="J27" s="23"/>
      <c r="K27" s="22"/>
      <c r="L27" s="20"/>
      <c r="M27" s="19"/>
      <c r="N27" s="19"/>
      <c r="O27" s="19"/>
      <c r="P27" s="19"/>
      <c r="Q27" s="19"/>
      <c r="R27" s="19"/>
      <c r="S27" s="19"/>
      <c r="T27" s="19"/>
      <c r="U27" s="19"/>
      <c r="V27" s="19"/>
    </row>
    <row r="28" spans="1:22" s="18" customFormat="1" ht="20.100000000000001" customHeight="1" outlineLevel="1">
      <c r="A28" s="21"/>
      <c r="B28" s="166"/>
      <c r="C28" s="167"/>
      <c r="D28" s="167"/>
      <c r="E28" s="167"/>
      <c r="F28" s="167"/>
      <c r="G28" s="167"/>
      <c r="H28" s="167"/>
      <c r="I28" s="167"/>
      <c r="J28" s="167"/>
      <c r="K28" s="168"/>
      <c r="L28" s="20"/>
      <c r="M28" s="19"/>
      <c r="N28" s="19"/>
      <c r="O28" s="19"/>
      <c r="P28" s="19"/>
      <c r="Q28" s="19"/>
      <c r="R28" s="19"/>
      <c r="S28" s="19"/>
      <c r="T28" s="19"/>
      <c r="U28" s="19"/>
      <c r="V28" s="19"/>
    </row>
    <row r="29" spans="1:22" s="18" customFormat="1" ht="20.100000000000001" customHeight="1" outlineLevel="1">
      <c r="A29" s="21"/>
      <c r="B29" s="24"/>
      <c r="C29" s="23"/>
      <c r="D29" s="23"/>
      <c r="E29" s="23"/>
      <c r="F29" s="23"/>
      <c r="G29" s="23"/>
      <c r="H29" s="23"/>
      <c r="I29" s="23"/>
      <c r="J29" s="23"/>
      <c r="K29" s="22"/>
      <c r="L29" s="20"/>
      <c r="M29" s="19"/>
      <c r="N29" s="19"/>
      <c r="O29" s="19"/>
      <c r="P29" s="19"/>
      <c r="Q29" s="19"/>
      <c r="R29" s="19"/>
      <c r="S29" s="19"/>
      <c r="T29" s="19"/>
      <c r="U29" s="19"/>
      <c r="V29" s="19"/>
    </row>
    <row r="30" spans="1:22" s="18" customFormat="1" ht="20.100000000000001" customHeight="1" outlineLevel="1">
      <c r="A30" s="21"/>
      <c r="B30" s="24"/>
      <c r="C30" s="23"/>
      <c r="D30" s="23"/>
      <c r="E30" s="23"/>
      <c r="F30" s="23"/>
      <c r="G30" s="23"/>
      <c r="H30" s="23"/>
      <c r="I30" s="23"/>
      <c r="J30" s="23"/>
      <c r="K30" s="22"/>
      <c r="L30" s="20"/>
      <c r="M30" s="19"/>
      <c r="N30" s="19"/>
      <c r="O30" s="19"/>
      <c r="P30" s="19"/>
      <c r="Q30" s="19"/>
      <c r="R30" s="19"/>
      <c r="S30" s="19"/>
      <c r="T30" s="19"/>
      <c r="U30" s="19"/>
      <c r="V30" s="19"/>
    </row>
    <row r="31" spans="1:22" s="18" customFormat="1" ht="20.100000000000001" customHeight="1" outlineLevel="1">
      <c r="A31" s="21"/>
      <c r="B31" s="24"/>
      <c r="C31" s="23"/>
      <c r="D31" s="23"/>
      <c r="E31" s="23"/>
      <c r="F31" s="23"/>
      <c r="G31" s="23"/>
      <c r="H31" s="23"/>
      <c r="I31" s="23"/>
      <c r="J31" s="23"/>
      <c r="K31" s="22"/>
      <c r="L31" s="20"/>
      <c r="M31" s="19"/>
      <c r="N31" s="19"/>
      <c r="O31" s="19"/>
      <c r="P31" s="19"/>
      <c r="Q31" s="19"/>
      <c r="R31" s="19"/>
      <c r="S31" s="19"/>
      <c r="T31" s="19"/>
      <c r="U31" s="19"/>
      <c r="V31" s="19"/>
    </row>
    <row r="32" spans="1:22" s="18" customFormat="1" ht="20.100000000000001" customHeight="1" outlineLevel="1">
      <c r="A32" s="21"/>
      <c r="B32" s="24"/>
      <c r="C32" s="23"/>
      <c r="D32" s="23"/>
      <c r="E32" s="23"/>
      <c r="F32" s="23"/>
      <c r="G32" s="23"/>
      <c r="H32" s="23"/>
      <c r="I32" s="23"/>
      <c r="J32" s="23"/>
      <c r="K32" s="22"/>
      <c r="L32" s="20"/>
      <c r="M32" s="19"/>
      <c r="N32" s="19"/>
      <c r="O32" s="19"/>
      <c r="P32" s="19"/>
      <c r="Q32" s="19"/>
      <c r="R32" s="19"/>
      <c r="S32" s="19"/>
      <c r="T32" s="19"/>
      <c r="U32" s="19"/>
      <c r="V32" s="19"/>
    </row>
    <row r="33" spans="1:22" s="18" customFormat="1" ht="20.100000000000001" customHeight="1" outlineLevel="1">
      <c r="A33" s="21"/>
      <c r="B33" s="89"/>
      <c r="C33" s="90"/>
      <c r="D33" s="90"/>
      <c r="E33" s="90"/>
      <c r="F33" s="90"/>
      <c r="G33" s="90"/>
      <c r="H33" s="90"/>
      <c r="I33" s="90"/>
      <c r="J33" s="90"/>
      <c r="K33" s="91"/>
      <c r="L33" s="20"/>
      <c r="M33" s="19"/>
      <c r="N33" s="19"/>
      <c r="O33" s="19"/>
      <c r="P33" s="19"/>
      <c r="Q33" s="19"/>
      <c r="R33" s="19"/>
      <c r="S33" s="19"/>
      <c r="T33" s="19"/>
      <c r="U33" s="19"/>
      <c r="V33" s="19"/>
    </row>
    <row r="34" spans="1:22" s="18" customFormat="1" ht="20.100000000000001" customHeight="1" outlineLevel="1">
      <c r="A34" s="21"/>
      <c r="B34" s="23"/>
      <c r="C34" s="23"/>
      <c r="D34" s="23"/>
      <c r="E34" s="23"/>
      <c r="F34" s="23"/>
      <c r="G34" s="23"/>
      <c r="H34" s="23"/>
      <c r="I34" s="23"/>
      <c r="J34" s="23"/>
      <c r="K34" s="23"/>
      <c r="L34" s="20"/>
      <c r="M34" s="19"/>
      <c r="N34" s="19"/>
      <c r="O34" s="19"/>
      <c r="P34" s="19"/>
      <c r="Q34" s="19"/>
      <c r="R34" s="19"/>
      <c r="S34" s="19"/>
      <c r="T34" s="19"/>
      <c r="U34" s="19"/>
      <c r="V34" s="19"/>
    </row>
    <row r="35" spans="1:22" s="18" customFormat="1" ht="20.100000000000001" customHeight="1" outlineLevel="1">
      <c r="A35" s="95" t="str">
        <f>$A$21&amp;"."&amp;1</f>
        <v>B.1.1</v>
      </c>
      <c r="B35" s="12" t="s">
        <v>106</v>
      </c>
      <c r="C35" s="94"/>
      <c r="D35" s="94"/>
      <c r="E35" s="94"/>
      <c r="F35" s="94"/>
      <c r="G35" s="94"/>
      <c r="H35" s="94"/>
      <c r="I35" s="94"/>
      <c r="J35" s="94"/>
      <c r="K35" s="94"/>
      <c r="L35" s="20"/>
      <c r="M35" s="19"/>
      <c r="N35" s="19"/>
      <c r="O35" s="19"/>
      <c r="P35" s="19"/>
      <c r="Q35" s="19"/>
      <c r="R35" s="19"/>
      <c r="S35" s="19"/>
      <c r="T35" s="19"/>
      <c r="U35" s="19"/>
      <c r="V35" s="19"/>
    </row>
    <row r="36" spans="1:22" ht="20.100000000000001" customHeight="1" outlineLevel="1">
      <c r="A36" s="9" t="s">
        <v>5</v>
      </c>
      <c r="B36" s="11" t="s">
        <v>22</v>
      </c>
      <c r="C36" s="11"/>
      <c r="D36" s="11"/>
      <c r="E36" s="11"/>
      <c r="F36" s="11"/>
      <c r="G36" s="11"/>
      <c r="H36" s="11"/>
      <c r="I36" s="10" t="s">
        <v>23</v>
      </c>
      <c r="J36" s="92">
        <v>232.5</v>
      </c>
      <c r="K36" s="93" t="s">
        <v>8</v>
      </c>
      <c r="L36" s="3"/>
    </row>
    <row r="37" spans="1:22" ht="20.100000000000001" customHeight="1" outlineLevel="1">
      <c r="A37" s="9" t="s">
        <v>4</v>
      </c>
      <c r="B37" s="8" t="s">
        <v>24</v>
      </c>
      <c r="C37" s="8"/>
      <c r="D37" s="8"/>
      <c r="E37" s="8"/>
      <c r="F37" s="8"/>
      <c r="G37" s="8"/>
      <c r="H37" s="8"/>
      <c r="I37" s="7" t="s">
        <v>25</v>
      </c>
      <c r="J37" s="62">
        <v>166.5</v>
      </c>
      <c r="K37" s="5" t="s">
        <v>8</v>
      </c>
      <c r="L37" s="3"/>
    </row>
    <row r="38" spans="1:22" ht="20.100000000000001" customHeight="1" outlineLevel="1">
      <c r="A38" s="9" t="s">
        <v>4</v>
      </c>
      <c r="B38" s="8" t="s">
        <v>26</v>
      </c>
      <c r="C38" s="8"/>
      <c r="D38" s="8"/>
      <c r="E38" s="8"/>
      <c r="F38" s="8"/>
      <c r="G38" s="8"/>
      <c r="H38" s="8"/>
      <c r="I38" s="7" t="s">
        <v>27</v>
      </c>
      <c r="J38" s="62">
        <v>72</v>
      </c>
      <c r="K38" s="5" t="s">
        <v>8</v>
      </c>
      <c r="L38" s="3"/>
    </row>
    <row r="39" spans="1:22" ht="20.100000000000001" customHeight="1" outlineLevel="1">
      <c r="A39" s="9" t="s">
        <v>3</v>
      </c>
      <c r="B39" s="8" t="s">
        <v>28</v>
      </c>
      <c r="C39" s="8"/>
      <c r="D39" s="8"/>
      <c r="E39" s="8"/>
      <c r="F39" s="8"/>
      <c r="G39" s="8"/>
      <c r="H39" s="8"/>
      <c r="I39" s="7" t="s">
        <v>29</v>
      </c>
      <c r="J39" s="62">
        <v>200</v>
      </c>
      <c r="K39" s="5" t="s">
        <v>8</v>
      </c>
      <c r="L39" s="3"/>
    </row>
    <row r="40" spans="1:22" ht="20.100000000000001" customHeight="1" outlineLevel="1">
      <c r="A40" s="9" t="s">
        <v>7</v>
      </c>
      <c r="B40" s="8" t="s">
        <v>302</v>
      </c>
      <c r="C40" s="8"/>
      <c r="D40" s="8"/>
      <c r="E40" s="8"/>
      <c r="F40" s="8"/>
      <c r="G40" s="8"/>
      <c r="H40" s="8"/>
      <c r="I40" s="7" t="s">
        <v>303</v>
      </c>
      <c r="J40" s="62">
        <v>3</v>
      </c>
      <c r="K40" s="5" t="s">
        <v>217</v>
      </c>
      <c r="L40" s="3"/>
    </row>
    <row r="41" spans="1:22" ht="20.100000000000001" customHeight="1" outlineLevel="1">
      <c r="A41" s="9" t="s">
        <v>6</v>
      </c>
      <c r="B41" s="8" t="s">
        <v>297</v>
      </c>
      <c r="C41" s="8"/>
      <c r="D41" s="8"/>
      <c r="E41" s="8"/>
      <c r="F41" s="8"/>
      <c r="G41" s="8"/>
      <c r="H41" s="8"/>
      <c r="I41" s="7" t="s">
        <v>31</v>
      </c>
      <c r="J41" s="62">
        <v>3750</v>
      </c>
      <c r="K41" s="5" t="s">
        <v>8</v>
      </c>
      <c r="L41" s="3"/>
    </row>
    <row r="42" spans="1:22" ht="20.100000000000001" customHeight="1" outlineLevel="1">
      <c r="A42" s="9" t="s">
        <v>32</v>
      </c>
      <c r="B42" s="17" t="s">
        <v>326</v>
      </c>
      <c r="C42" s="17"/>
      <c r="D42" s="17"/>
      <c r="E42" s="17"/>
      <c r="F42" s="17"/>
      <c r="G42" s="17"/>
      <c r="H42" s="17"/>
      <c r="I42" s="16" t="s">
        <v>33</v>
      </c>
      <c r="J42" s="64">
        <v>-123.29166666666667</v>
      </c>
      <c r="K42" s="15" t="s">
        <v>9</v>
      </c>
      <c r="L42" s="3"/>
    </row>
    <row r="43" spans="1:22" ht="20.100000000000001" customHeight="1" outlineLevel="1">
      <c r="A43" s="9" t="s">
        <v>35</v>
      </c>
      <c r="B43" s="17" t="s">
        <v>52</v>
      </c>
      <c r="C43" s="17"/>
      <c r="D43" s="17"/>
      <c r="E43" s="17"/>
      <c r="F43" s="17"/>
      <c r="G43" s="17"/>
      <c r="H43" s="17"/>
      <c r="I43" s="16" t="s">
        <v>54</v>
      </c>
      <c r="J43" s="64">
        <v>210</v>
      </c>
      <c r="K43" s="15" t="s">
        <v>56</v>
      </c>
      <c r="L43" s="3"/>
    </row>
    <row r="44" spans="1:22" ht="20.100000000000001" customHeight="1" outlineLevel="1">
      <c r="A44" s="9" t="s">
        <v>36</v>
      </c>
      <c r="B44" s="8" t="s">
        <v>53</v>
      </c>
      <c r="C44" s="8"/>
      <c r="D44" s="8"/>
      <c r="E44" s="8"/>
      <c r="F44" s="8"/>
      <c r="G44" s="8"/>
      <c r="H44" s="8"/>
      <c r="I44" s="7" t="s">
        <v>55</v>
      </c>
      <c r="J44" s="62">
        <v>80.77</v>
      </c>
      <c r="K44" s="5" t="s">
        <v>56</v>
      </c>
      <c r="L44" s="3"/>
    </row>
    <row r="45" spans="1:22" ht="20.100000000000001" customHeight="1" outlineLevel="1">
      <c r="A45" s="9"/>
      <c r="B45" s="58"/>
      <c r="C45" s="58"/>
      <c r="D45" s="58"/>
      <c r="E45" s="58"/>
      <c r="F45" s="58"/>
      <c r="G45" s="58"/>
      <c r="H45" s="58"/>
      <c r="I45" s="59"/>
      <c r="J45" s="96"/>
      <c r="K45" s="60"/>
      <c r="L45" s="3"/>
    </row>
    <row r="46" spans="1:22" ht="20.100000000000001" customHeight="1" outlineLevel="1">
      <c r="A46" s="95" t="str">
        <f>$A$21&amp;"."&amp;2</f>
        <v>B.1.2</v>
      </c>
      <c r="B46" s="12" t="s">
        <v>107</v>
      </c>
      <c r="C46" s="94"/>
      <c r="D46" s="94"/>
      <c r="E46" s="94"/>
      <c r="F46" s="94"/>
      <c r="G46" s="94"/>
      <c r="H46" s="94"/>
      <c r="I46" s="94"/>
      <c r="J46" s="94"/>
      <c r="K46" s="94"/>
      <c r="L46" s="3"/>
    </row>
    <row r="47" spans="1:22" ht="20.100000000000001" customHeight="1" outlineLevel="1">
      <c r="A47" s="9" t="s">
        <v>5</v>
      </c>
      <c r="B47" s="8" t="s">
        <v>109</v>
      </c>
      <c r="C47" s="8"/>
      <c r="D47" s="8"/>
      <c r="E47" s="8"/>
      <c r="F47" s="8"/>
      <c r="G47" s="8"/>
      <c r="H47" s="8"/>
      <c r="I47" s="7"/>
      <c r="J47" s="61" t="s">
        <v>42</v>
      </c>
      <c r="K47" s="5"/>
      <c r="L47" s="3"/>
    </row>
    <row r="48" spans="1:22" ht="20.100000000000001" customHeight="1" outlineLevel="1">
      <c r="A48" s="9" t="s">
        <v>4</v>
      </c>
      <c r="B48" s="8" t="s">
        <v>109</v>
      </c>
      <c r="C48" s="8"/>
      <c r="D48" s="8"/>
      <c r="E48" s="8"/>
      <c r="F48" s="8"/>
      <c r="G48" s="8"/>
      <c r="H48" s="8"/>
      <c r="I48" s="7" t="s">
        <v>112</v>
      </c>
      <c r="J48" s="61">
        <v>80</v>
      </c>
      <c r="K48" s="5" t="s">
        <v>8</v>
      </c>
      <c r="L48" s="3"/>
    </row>
    <row r="49" spans="1:12" ht="20.100000000000001" customHeight="1" outlineLevel="1">
      <c r="A49" s="9" t="s">
        <v>3</v>
      </c>
      <c r="B49" s="8" t="s">
        <v>110</v>
      </c>
      <c r="C49" s="8"/>
      <c r="D49" s="8"/>
      <c r="E49" s="8"/>
      <c r="F49" s="8"/>
      <c r="G49" s="8"/>
      <c r="H49" s="8"/>
      <c r="I49" s="7" t="s">
        <v>113</v>
      </c>
      <c r="J49" s="61">
        <v>76.099999999999994</v>
      </c>
      <c r="K49" s="5" t="s">
        <v>8</v>
      </c>
      <c r="L49" s="3"/>
    </row>
    <row r="50" spans="1:12" ht="20.100000000000001" customHeight="1" outlineLevel="1">
      <c r="A50" s="9" t="s">
        <v>7</v>
      </c>
      <c r="B50" s="8" t="s">
        <v>111</v>
      </c>
      <c r="C50" s="8"/>
      <c r="D50" s="8"/>
      <c r="E50" s="8"/>
      <c r="F50" s="8"/>
      <c r="G50" s="8"/>
      <c r="H50" s="8"/>
      <c r="I50" s="7" t="s">
        <v>114</v>
      </c>
      <c r="J50" s="61">
        <v>0.27</v>
      </c>
      <c r="K50" s="5" t="s">
        <v>8</v>
      </c>
      <c r="L50" s="3"/>
    </row>
    <row r="51" spans="1:12" ht="20.100000000000001" customHeight="1" outlineLevel="1">
      <c r="A51" s="9" t="s">
        <v>6</v>
      </c>
      <c r="B51" s="8" t="s">
        <v>39</v>
      </c>
      <c r="C51" s="8"/>
      <c r="D51" s="8"/>
      <c r="E51" s="8"/>
      <c r="F51" s="8"/>
      <c r="G51" s="8"/>
      <c r="H51" s="8"/>
      <c r="I51" s="7" t="s">
        <v>41</v>
      </c>
      <c r="J51" s="61">
        <v>6</v>
      </c>
      <c r="K51" s="5" t="s">
        <v>8</v>
      </c>
      <c r="L51" s="3"/>
    </row>
    <row r="52" spans="1:12" ht="20.100000000000001" customHeight="1" outlineLevel="1">
      <c r="A52" s="9" t="s">
        <v>32</v>
      </c>
      <c r="B52" s="8" t="s">
        <v>115</v>
      </c>
      <c r="C52" s="8"/>
      <c r="D52" s="8"/>
      <c r="E52" s="8"/>
      <c r="F52" s="8"/>
      <c r="G52" s="8"/>
      <c r="H52" s="8"/>
      <c r="I52" s="7" t="s">
        <v>117</v>
      </c>
      <c r="J52" s="61">
        <v>900</v>
      </c>
      <c r="K52" s="15" t="s">
        <v>96</v>
      </c>
      <c r="L52" s="3"/>
    </row>
    <row r="53" spans="1:12" ht="20.100000000000001" customHeight="1" outlineLevel="1">
      <c r="A53" s="9" t="s">
        <v>35</v>
      </c>
      <c r="B53" s="17" t="s">
        <v>116</v>
      </c>
      <c r="C53" s="17"/>
      <c r="D53" s="17"/>
      <c r="E53" s="17"/>
      <c r="F53" s="17"/>
      <c r="G53" s="17"/>
      <c r="H53" s="17"/>
      <c r="I53" s="16" t="s">
        <v>118</v>
      </c>
      <c r="J53" s="65">
        <v>1000</v>
      </c>
      <c r="K53" s="15" t="s">
        <v>96</v>
      </c>
      <c r="L53" s="3"/>
    </row>
    <row r="54" spans="1:12" ht="20.100000000000001" customHeight="1" outlineLevel="1">
      <c r="A54" s="9" t="s">
        <v>36</v>
      </c>
      <c r="B54" s="17" t="s">
        <v>119</v>
      </c>
      <c r="C54" s="17"/>
      <c r="D54" s="17"/>
      <c r="E54" s="17"/>
      <c r="F54" s="17"/>
      <c r="G54" s="17"/>
      <c r="H54" s="17"/>
      <c r="I54" s="16" t="s">
        <v>54</v>
      </c>
      <c r="J54" s="65">
        <v>210</v>
      </c>
      <c r="K54" s="15" t="s">
        <v>56</v>
      </c>
      <c r="L54" s="3"/>
    </row>
    <row r="55" spans="1:12" ht="20.100000000000001" customHeight="1" outlineLevel="1">
      <c r="A55" s="9" t="s">
        <v>37</v>
      </c>
      <c r="B55" s="17" t="s">
        <v>34</v>
      </c>
      <c r="C55" s="17"/>
      <c r="D55" s="17"/>
      <c r="E55" s="17"/>
      <c r="F55" s="17"/>
      <c r="G55" s="17"/>
      <c r="H55" s="17"/>
      <c r="I55" s="16" t="s">
        <v>38</v>
      </c>
      <c r="J55" s="65">
        <v>2876</v>
      </c>
      <c r="K55" s="15" t="s">
        <v>9</v>
      </c>
      <c r="L55" s="3"/>
    </row>
    <row r="56" spans="1:12" ht="20.100000000000001" customHeight="1" outlineLevel="1">
      <c r="A56" s="9" t="s">
        <v>40</v>
      </c>
      <c r="B56" s="8" t="s">
        <v>43</v>
      </c>
      <c r="C56" s="8"/>
      <c r="D56" s="8"/>
      <c r="E56" s="8"/>
      <c r="F56" s="8"/>
      <c r="G56" s="8"/>
      <c r="H56" s="8"/>
      <c r="I56" s="7" t="s">
        <v>49</v>
      </c>
      <c r="J56" s="62">
        <v>86</v>
      </c>
      <c r="K56" s="5" t="s">
        <v>8</v>
      </c>
      <c r="L56" s="3"/>
    </row>
    <row r="57" spans="1:12" ht="20.100000000000001" customHeight="1" outlineLevel="1">
      <c r="A57" s="9" t="s">
        <v>51</v>
      </c>
      <c r="B57" s="8" t="s">
        <v>44</v>
      </c>
      <c r="C57" s="8"/>
      <c r="D57" s="8"/>
      <c r="E57" s="8"/>
      <c r="F57" s="8"/>
      <c r="G57" s="8"/>
      <c r="H57" s="8"/>
      <c r="I57" s="7" t="s">
        <v>50</v>
      </c>
      <c r="J57" s="62">
        <v>140</v>
      </c>
      <c r="K57" s="5" t="s">
        <v>8</v>
      </c>
      <c r="L57" s="3"/>
    </row>
    <row r="58" spans="1:12" ht="20.100000000000001" customHeight="1" outlineLevel="1">
      <c r="A58" s="9"/>
      <c r="B58" s="58"/>
      <c r="C58" s="58"/>
      <c r="D58" s="58"/>
      <c r="E58" s="58"/>
      <c r="F58" s="58"/>
      <c r="G58" s="58"/>
      <c r="H58" s="58"/>
      <c r="I58" s="59"/>
      <c r="J58" s="96"/>
      <c r="K58" s="60"/>
      <c r="L58" s="3"/>
    </row>
    <row r="59" spans="1:12" ht="20.100000000000001" customHeight="1" outlineLevel="1">
      <c r="A59" s="95" t="str">
        <f>$A$21&amp;"."&amp;3</f>
        <v>B.1.3</v>
      </c>
      <c r="B59" s="12" t="s">
        <v>108</v>
      </c>
      <c r="C59" s="94"/>
      <c r="D59" s="94"/>
      <c r="E59" s="94"/>
      <c r="F59" s="94"/>
      <c r="G59" s="94"/>
      <c r="H59" s="94"/>
      <c r="I59" s="94"/>
      <c r="J59" s="94"/>
      <c r="K59" s="94"/>
      <c r="L59" s="3"/>
    </row>
    <row r="60" spans="1:12" ht="20.100000000000001" customHeight="1" outlineLevel="1">
      <c r="A60" s="9" t="s">
        <v>5</v>
      </c>
      <c r="B60" s="11" t="s">
        <v>45</v>
      </c>
      <c r="C60" s="11"/>
      <c r="D60" s="11"/>
      <c r="E60" s="11"/>
      <c r="F60" s="11"/>
      <c r="G60" s="11"/>
      <c r="H60" s="11"/>
      <c r="I60" s="10" t="s">
        <v>48</v>
      </c>
      <c r="J60" s="97">
        <v>1.6338216149415536</v>
      </c>
      <c r="K60" s="93" t="s">
        <v>8</v>
      </c>
      <c r="L60" s="3"/>
    </row>
    <row r="61" spans="1:12" ht="20.100000000000001" customHeight="1" outlineLevel="1">
      <c r="A61" s="9" t="s">
        <v>4</v>
      </c>
      <c r="B61" s="8" t="s">
        <v>46</v>
      </c>
      <c r="C61" s="8"/>
      <c r="D61" s="8"/>
      <c r="E61" s="8"/>
      <c r="F61" s="8"/>
      <c r="G61" s="8"/>
      <c r="H61" s="8"/>
      <c r="I61" s="7" t="s">
        <v>47</v>
      </c>
      <c r="J61" s="98">
        <v>3926.990816987241</v>
      </c>
      <c r="K61" s="5" t="s">
        <v>8</v>
      </c>
      <c r="L61" s="3"/>
    </row>
    <row r="62" spans="1:12" ht="20.100000000000001" customHeight="1" outlineLevel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3"/>
    </row>
    <row r="63" spans="1:12" ht="20.100000000000001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3"/>
    </row>
    <row r="64" spans="1:12" ht="20.100000000000001" customHeight="1" thickBot="1">
      <c r="A64" s="14" t="str">
        <f>$A$11&amp;"."&amp;2</f>
        <v>B.2</v>
      </c>
      <c r="B64" s="14" t="s">
        <v>57</v>
      </c>
      <c r="C64" s="14"/>
      <c r="D64" s="14"/>
      <c r="E64" s="14"/>
      <c r="F64" s="14"/>
      <c r="G64" s="14"/>
      <c r="H64" s="14"/>
      <c r="I64" s="14"/>
      <c r="J64" s="14"/>
      <c r="K64" s="13"/>
      <c r="L64" s="3"/>
    </row>
    <row r="65" spans="1:114" ht="20.100000000000001" customHeight="1" outlineLevel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3"/>
    </row>
    <row r="66" spans="1:114" ht="20.100000000000001" customHeight="1" outlineLevel="1">
      <c r="A66" s="4"/>
      <c r="B66" s="33"/>
      <c r="C66" s="32"/>
      <c r="D66" s="32"/>
      <c r="E66" s="32"/>
      <c r="F66" s="32"/>
      <c r="G66" s="32"/>
      <c r="H66" s="32"/>
      <c r="I66" s="32"/>
      <c r="J66" s="32"/>
      <c r="K66" s="31"/>
      <c r="L66" s="3"/>
      <c r="N66" s="70" t="s">
        <v>120</v>
      </c>
      <c r="O66" s="71">
        <v>-972.27745279555916</v>
      </c>
      <c r="P66" s="71">
        <v>-944.44216496292142</v>
      </c>
      <c r="Q66" s="71">
        <v>-916.60687713028369</v>
      </c>
      <c r="R66" s="71">
        <v>-888.77158929764596</v>
      </c>
      <c r="S66" s="71">
        <v>-860.93630146500823</v>
      </c>
      <c r="T66" s="71">
        <v>-833.10101363237038</v>
      </c>
      <c r="U66" s="71">
        <v>-805.26572579973276</v>
      </c>
      <c r="V66" s="71">
        <v>-777.43043796709492</v>
      </c>
      <c r="W66" s="71">
        <v>-749.59515013445719</v>
      </c>
      <c r="X66" s="71">
        <v>-721.75986230181945</v>
      </c>
      <c r="Y66" s="71">
        <v>-693.92457446918172</v>
      </c>
      <c r="Z66" s="71">
        <v>-666.08928663654387</v>
      </c>
      <c r="AA66" s="71">
        <v>-638.25399880390614</v>
      </c>
      <c r="AB66" s="71">
        <v>-610.41871097126841</v>
      </c>
      <c r="AC66" s="71">
        <v>-582.58342313863068</v>
      </c>
      <c r="AD66" s="71">
        <v>-554.74813530599295</v>
      </c>
      <c r="AE66" s="71">
        <v>-526.91284747335521</v>
      </c>
      <c r="AF66" s="71">
        <v>-499.07755964071748</v>
      </c>
      <c r="AG66" s="71">
        <v>-471.24227180807969</v>
      </c>
      <c r="AH66" s="71">
        <v>-443.4069839754419</v>
      </c>
      <c r="AI66" s="71">
        <v>-415.57169614280423</v>
      </c>
      <c r="AJ66" s="71">
        <v>-387.73640831016644</v>
      </c>
      <c r="AK66" s="71">
        <v>-359.90112047752865</v>
      </c>
      <c r="AL66" s="71">
        <v>-332.06583264489086</v>
      </c>
      <c r="AM66" s="71">
        <v>-304.23054481225319</v>
      </c>
      <c r="AN66" s="71">
        <v>-276.39525697961545</v>
      </c>
      <c r="AO66" s="71">
        <v>-248.55996914697764</v>
      </c>
      <c r="AP66" s="71">
        <v>-220.72468131433999</v>
      </c>
      <c r="AQ66" s="71">
        <v>-192.8893934817022</v>
      </c>
      <c r="AR66" s="71">
        <v>-165.05410564906441</v>
      </c>
      <c r="AS66" s="71">
        <v>-137.21881781642662</v>
      </c>
      <c r="AT66" s="71">
        <v>-109.38352998378896</v>
      </c>
      <c r="AU66" s="71">
        <v>-81.548242151151172</v>
      </c>
      <c r="AV66" s="71">
        <v>-53.712954318513397</v>
      </c>
      <c r="AW66" s="71">
        <v>-25.877666485875729</v>
      </c>
      <c r="AX66" s="71">
        <v>1.9576213467620547</v>
      </c>
      <c r="AY66" s="71">
        <v>29.792909179399839</v>
      </c>
      <c r="AZ66" s="71">
        <v>57.628197012037624</v>
      </c>
      <c r="BA66" s="71">
        <v>85.463484844675406</v>
      </c>
      <c r="BB66" s="71">
        <v>113.29877267731318</v>
      </c>
      <c r="BC66" s="71">
        <v>141.13406050995073</v>
      </c>
      <c r="BD66" s="71">
        <v>168.96934834258852</v>
      </c>
      <c r="BE66" s="71">
        <v>196.80463617522631</v>
      </c>
      <c r="BF66" s="71">
        <v>224.6399240078641</v>
      </c>
      <c r="BG66" s="71">
        <v>252.47521184050186</v>
      </c>
      <c r="BH66" s="71">
        <v>280.31049967313965</v>
      </c>
      <c r="BI66" s="71">
        <v>308.14578750577743</v>
      </c>
      <c r="BJ66" s="71">
        <v>335.981075338415</v>
      </c>
      <c r="BK66" s="71">
        <v>363.81636317105279</v>
      </c>
      <c r="BL66" s="71">
        <v>391.65165100369057</v>
      </c>
      <c r="BM66" s="71">
        <v>419.48693883632836</v>
      </c>
      <c r="BN66" s="71">
        <v>447.3222266689661</v>
      </c>
      <c r="BO66" s="71">
        <v>475.15751450160388</v>
      </c>
      <c r="BP66" s="71">
        <v>502.99280233424167</v>
      </c>
      <c r="BQ66" s="71">
        <v>530.82809016687929</v>
      </c>
      <c r="BR66" s="71">
        <v>558.66337799951702</v>
      </c>
      <c r="BS66" s="71">
        <v>586.49866583215476</v>
      </c>
      <c r="BT66" s="71">
        <v>614.3339536647926</v>
      </c>
      <c r="BU66" s="71">
        <v>642.16924149743033</v>
      </c>
      <c r="BV66" s="71">
        <v>670.00452933006818</v>
      </c>
      <c r="BW66" s="71">
        <v>697.83981716270591</v>
      </c>
      <c r="BX66" s="71">
        <v>725.67510499534353</v>
      </c>
      <c r="BY66" s="71">
        <v>753.51039282798126</v>
      </c>
      <c r="BZ66" s="71">
        <v>781.345680660619</v>
      </c>
      <c r="CA66" s="71">
        <v>809.18096849325684</v>
      </c>
      <c r="CB66" s="71">
        <v>837.01625632589457</v>
      </c>
      <c r="CC66" s="71">
        <v>864.85154415853242</v>
      </c>
      <c r="CD66" s="71">
        <v>892.68683199117015</v>
      </c>
      <c r="CE66" s="71">
        <v>920.52211982380777</v>
      </c>
      <c r="CF66" s="71">
        <v>948.3574076564455</v>
      </c>
      <c r="CG66" s="71">
        <v>976.19269548908335</v>
      </c>
      <c r="CH66" s="71">
        <v>1004.0279833217211</v>
      </c>
      <c r="CI66" s="71">
        <v>1031.8632711543589</v>
      </c>
      <c r="CJ66" s="71">
        <v>1059.6985589869967</v>
      </c>
      <c r="CK66" s="71">
        <v>1087.5338468196346</v>
      </c>
      <c r="CL66" s="71">
        <v>1115.3691346522719</v>
      </c>
      <c r="CM66" s="71">
        <v>1143.2044224849101</v>
      </c>
      <c r="CN66" s="71">
        <v>1171.0397103175478</v>
      </c>
      <c r="CO66" s="71">
        <v>1198.8749981501858</v>
      </c>
      <c r="CP66" s="71">
        <v>1226.7102859828231</v>
      </c>
      <c r="CQ66" s="71">
        <v>1254.5455738154608</v>
      </c>
      <c r="CR66" s="71">
        <v>1282.3808616480985</v>
      </c>
      <c r="CS66" s="71">
        <v>1310.2161494807362</v>
      </c>
      <c r="CT66" s="71">
        <v>1338.0514373133742</v>
      </c>
      <c r="CU66" s="71">
        <v>1365.8867251460119</v>
      </c>
      <c r="CV66" s="71">
        <v>1393.7220129786497</v>
      </c>
      <c r="CW66" s="71">
        <v>1421.5573008112874</v>
      </c>
      <c r="CX66" s="71">
        <v>1449.3925886439254</v>
      </c>
      <c r="CY66" s="71">
        <v>1477.2278764765631</v>
      </c>
      <c r="CZ66" s="71">
        <v>1505.0631643092008</v>
      </c>
      <c r="DA66" s="71">
        <v>1532.8984521418386</v>
      </c>
      <c r="DB66" s="71">
        <v>1560.7337399744763</v>
      </c>
      <c r="DC66" s="71">
        <v>1588.5690278071143</v>
      </c>
      <c r="DD66" s="71">
        <v>1616.4043156397515</v>
      </c>
      <c r="DE66" s="71">
        <v>1644.2396034723893</v>
      </c>
      <c r="DF66" s="71">
        <v>1672.074891305027</v>
      </c>
      <c r="DG66" s="71">
        <v>1699.910179137665</v>
      </c>
      <c r="DH66" s="71">
        <v>1727.7454669703027</v>
      </c>
      <c r="DI66" s="71">
        <v>1755.5807548029404</v>
      </c>
      <c r="DJ66" s="71">
        <v>1783.4160426355779</v>
      </c>
    </row>
    <row r="67" spans="1:114" ht="20.100000000000001" customHeight="1" outlineLevel="1">
      <c r="A67" s="4"/>
      <c r="B67" s="30"/>
      <c r="C67" s="4"/>
      <c r="D67" s="4"/>
      <c r="E67" s="4"/>
      <c r="F67" s="4"/>
      <c r="G67" s="4"/>
      <c r="H67" s="4"/>
      <c r="I67" s="4"/>
      <c r="J67" s="4"/>
      <c r="K67" s="29"/>
      <c r="L67" s="3"/>
      <c r="N67" s="70" t="s">
        <v>121</v>
      </c>
      <c r="O67" s="71">
        <v>2865.3795655148106</v>
      </c>
      <c r="P67" s="71">
        <v>2865.3795655148106</v>
      </c>
      <c r="Q67" s="71">
        <v>2865.3810132263552</v>
      </c>
      <c r="R67" s="71">
        <v>2865.4023845784254</v>
      </c>
      <c r="S67" s="71">
        <v>2865.4492989012356</v>
      </c>
      <c r="T67" s="71">
        <v>2865.5217561947857</v>
      </c>
      <c r="U67" s="71">
        <v>2865.6197564590757</v>
      </c>
      <c r="V67" s="71">
        <v>2865.7432996941056</v>
      </c>
      <c r="W67" s="71">
        <v>2865.8923858998755</v>
      </c>
      <c r="X67" s="71">
        <v>2866.0670150763849</v>
      </c>
      <c r="Y67" s="71">
        <v>2866.2671872236347</v>
      </c>
      <c r="Z67" s="71">
        <v>2866.4929023416248</v>
      </c>
      <c r="AA67" s="71">
        <v>2866.7441604303544</v>
      </c>
      <c r="AB67" s="71">
        <v>2867.020961489824</v>
      </c>
      <c r="AC67" s="71">
        <v>2867.3233055200335</v>
      </c>
      <c r="AD67" s="71">
        <v>2867.6511925209829</v>
      </c>
      <c r="AE67" s="71">
        <v>2868.0046224926728</v>
      </c>
      <c r="AF67" s="71">
        <v>2868.3835954351021</v>
      </c>
      <c r="AG67" s="71">
        <v>2868.7881113482717</v>
      </c>
      <c r="AH67" s="71">
        <v>2869.2181702321809</v>
      </c>
      <c r="AI67" s="71">
        <v>2869.6737720868305</v>
      </c>
      <c r="AJ67" s="71">
        <v>2870.15491691222</v>
      </c>
      <c r="AK67" s="71">
        <v>2870.6616047083489</v>
      </c>
      <c r="AL67" s="71">
        <v>2871.1938354752183</v>
      </c>
      <c r="AM67" s="71">
        <v>2871.7516092128276</v>
      </c>
      <c r="AN67" s="71">
        <v>2872.3349259211764</v>
      </c>
      <c r="AO67" s="71">
        <v>2872.943785600266</v>
      </c>
      <c r="AP67" s="71">
        <v>2873.5781882500946</v>
      </c>
      <c r="AQ67" s="71">
        <v>2874.2381338706641</v>
      </c>
      <c r="AR67" s="71">
        <v>2874.9236224619726</v>
      </c>
      <c r="AS67" s="71">
        <v>2875.6346540240215</v>
      </c>
      <c r="AT67" s="71">
        <v>2876.4071360306762</v>
      </c>
      <c r="AU67" s="71">
        <v>2877.4568079370083</v>
      </c>
      <c r="AV67" s="71">
        <v>2878.8196754655851</v>
      </c>
      <c r="AW67" s="71">
        <v>2880.4957386164078</v>
      </c>
      <c r="AX67" s="71">
        <v>2882.4849973894752</v>
      </c>
      <c r="AY67" s="71">
        <v>2884.7874517847886</v>
      </c>
      <c r="AZ67" s="71">
        <v>2887.4031018023466</v>
      </c>
      <c r="BA67" s="71">
        <v>2890.3319474421501</v>
      </c>
      <c r="BB67" s="71">
        <v>2893.5739887041991</v>
      </c>
      <c r="BC67" s="71">
        <v>2897.1292255884932</v>
      </c>
      <c r="BD67" s="71">
        <v>2900.9976580950324</v>
      </c>
      <c r="BE67" s="71">
        <v>2905.1792862238171</v>
      </c>
      <c r="BF67" s="71">
        <v>2909.6741099748465</v>
      </c>
      <c r="BG67" s="71">
        <v>2914.4821293481223</v>
      </c>
      <c r="BH67" s="71">
        <v>2919.6033443436427</v>
      </c>
      <c r="BI67" s="71">
        <v>2925.0377549614082</v>
      </c>
      <c r="BJ67" s="71">
        <v>2930.7853612014196</v>
      </c>
      <c r="BK67" s="71">
        <v>2936.8461630636757</v>
      </c>
      <c r="BL67" s="71">
        <v>2943.2201605481769</v>
      </c>
      <c r="BM67" s="71">
        <v>2949.907353654924</v>
      </c>
      <c r="BN67" s="71">
        <v>2956.9077423839158</v>
      </c>
      <c r="BO67" s="71">
        <v>2964.2213267351535</v>
      </c>
      <c r="BP67" s="71">
        <v>2971.8481067086359</v>
      </c>
      <c r="BQ67" s="71">
        <v>2979.7880823043643</v>
      </c>
      <c r="BR67" s="71">
        <v>2988.0412535223368</v>
      </c>
      <c r="BS67" s="71">
        <v>2996.6076203625557</v>
      </c>
      <c r="BT67" s="71">
        <v>3005.4871828250193</v>
      </c>
      <c r="BU67" s="71">
        <v>3014.6799409097284</v>
      </c>
      <c r="BV67" s="71">
        <v>3024.1858946166826</v>
      </c>
      <c r="BW67" s="71">
        <v>3034.0050439458819</v>
      </c>
      <c r="BX67" s="71">
        <v>3044.1373888973267</v>
      </c>
      <c r="BY67" s="71">
        <v>3054.5829294710175</v>
      </c>
      <c r="BZ67" s="71">
        <v>3065.3416656669528</v>
      </c>
      <c r="CA67" s="71">
        <v>3076.4135974851329</v>
      </c>
      <c r="CB67" s="71">
        <v>3087.7987249255589</v>
      </c>
      <c r="CC67" s="71">
        <v>3099.4970479882304</v>
      </c>
      <c r="CD67" s="71">
        <v>3111.508566673147</v>
      </c>
      <c r="CE67" s="71">
        <v>3123.8332809803087</v>
      </c>
      <c r="CF67" s="71">
        <v>3136.4711909097155</v>
      </c>
      <c r="CG67" s="71">
        <v>3149.4222964613682</v>
      </c>
      <c r="CH67" s="71">
        <v>3162.6865976352656</v>
      </c>
      <c r="CI67" s="71">
        <v>3176.264094431408</v>
      </c>
      <c r="CJ67" s="71">
        <v>3190.1547868497969</v>
      </c>
      <c r="CK67" s="71">
        <v>3204.3586748904304</v>
      </c>
      <c r="CL67" s="71">
        <v>3218.8757585533085</v>
      </c>
      <c r="CM67" s="71">
        <v>3233.7060378384331</v>
      </c>
      <c r="CN67" s="71">
        <v>3248.8495127458018</v>
      </c>
      <c r="CO67" s="71">
        <v>3264.3061832754165</v>
      </c>
      <c r="CP67" s="71">
        <v>3280.0760494272758</v>
      </c>
      <c r="CQ67" s="71">
        <v>3296.1591112013812</v>
      </c>
      <c r="CR67" s="71">
        <v>3312.5553685977316</v>
      </c>
      <c r="CS67" s="71">
        <v>3329.264821616327</v>
      </c>
      <c r="CT67" s="71">
        <v>3346.2874702571676</v>
      </c>
      <c r="CU67" s="71">
        <v>3363.6233145202536</v>
      </c>
      <c r="CV67" s="71">
        <v>3381.2723544055857</v>
      </c>
      <c r="CW67" s="71">
        <v>3399.2345899131624</v>
      </c>
      <c r="CX67" s="71">
        <v>3417.5100210429841</v>
      </c>
      <c r="CY67" s="71">
        <v>3436.0986477950514</v>
      </c>
      <c r="CZ67" s="71">
        <v>3455.0004701693642</v>
      </c>
      <c r="DA67" s="71">
        <v>3474.2154881659221</v>
      </c>
      <c r="DB67" s="71">
        <v>3493.7437017847246</v>
      </c>
      <c r="DC67" s="71">
        <v>3513.5851110257736</v>
      </c>
      <c r="DD67" s="71">
        <v>3533.7397158890662</v>
      </c>
      <c r="DE67" s="71">
        <v>3554.2075163746058</v>
      </c>
      <c r="DF67" s="71">
        <v>3574.98851248239</v>
      </c>
      <c r="DG67" s="71">
        <v>3596.0827042124192</v>
      </c>
      <c r="DH67" s="71">
        <v>3617.490091564694</v>
      </c>
      <c r="DI67" s="71">
        <v>3639.2106745392139</v>
      </c>
      <c r="DJ67" s="71">
        <v>3661.2444531359793</v>
      </c>
    </row>
    <row r="68" spans="1:114" ht="20.100000000000001" customHeight="1" outlineLevel="1">
      <c r="A68" s="4"/>
      <c r="B68" s="30"/>
      <c r="C68" s="4"/>
      <c r="D68" s="4"/>
      <c r="E68" s="4"/>
      <c r="F68" s="4"/>
      <c r="G68" s="4"/>
      <c r="H68" s="4"/>
      <c r="I68" s="4"/>
      <c r="J68" s="4"/>
      <c r="K68" s="29"/>
      <c r="L68" s="3"/>
      <c r="N68" s="70" t="s">
        <v>58</v>
      </c>
      <c r="O68" s="71">
        <v>-141.28395786745503</v>
      </c>
      <c r="P68" s="71">
        <v>-141.28395786745503</v>
      </c>
      <c r="Q68" s="71">
        <v>-141.26816517140099</v>
      </c>
      <c r="R68" s="71">
        <v>-141.03503083693357</v>
      </c>
      <c r="S68" s="71">
        <v>-140.52325510138618</v>
      </c>
      <c r="T68" s="71">
        <v>-139.73283796475877</v>
      </c>
      <c r="U68" s="71">
        <v>-138.66377942705142</v>
      </c>
      <c r="V68" s="71">
        <v>-137.31607948826402</v>
      </c>
      <c r="W68" s="71">
        <v>-135.68973814839666</v>
      </c>
      <c r="X68" s="71">
        <v>-133.78475540744932</v>
      </c>
      <c r="Y68" s="71">
        <v>-131.60113126542197</v>
      </c>
      <c r="Z68" s="71">
        <v>-129.13886572231465</v>
      </c>
      <c r="AA68" s="71">
        <v>-126.39795877812732</v>
      </c>
      <c r="AB68" s="71">
        <v>-123.37841043286001</v>
      </c>
      <c r="AC68" s="71">
        <v>-120.0802206865127</v>
      </c>
      <c r="AD68" s="71">
        <v>-116.5033895390854</v>
      </c>
      <c r="AE68" s="71">
        <v>-112.64791699057814</v>
      </c>
      <c r="AF68" s="71">
        <v>-108.51380304099085</v>
      </c>
      <c r="AG68" s="71">
        <v>-104.10104769032357</v>
      </c>
      <c r="AH68" s="71">
        <v>-99.409650938576306</v>
      </c>
      <c r="AI68" s="71">
        <v>-94.439612785749077</v>
      </c>
      <c r="AJ68" s="71">
        <v>-89.190933231841839</v>
      </c>
      <c r="AK68" s="71">
        <v>-83.663612276854622</v>
      </c>
      <c r="AL68" s="71">
        <v>-77.857649920787381</v>
      </c>
      <c r="AM68" s="71">
        <v>-71.773046163640203</v>
      </c>
      <c r="AN68" s="71">
        <v>-65.409801005412987</v>
      </c>
      <c r="AO68" s="71">
        <v>-58.767914446105785</v>
      </c>
      <c r="AP68" s="71">
        <v>-51.847386485718623</v>
      </c>
      <c r="AQ68" s="71">
        <v>-44.648217124251445</v>
      </c>
      <c r="AR68" s="71">
        <v>-37.170406361704273</v>
      </c>
      <c r="AS68" s="71">
        <v>-29.413954198077114</v>
      </c>
      <c r="AT68" s="71">
        <v>-21.291870020232267</v>
      </c>
      <c r="AU68" s="71">
        <v>-12.281496413032507</v>
      </c>
      <c r="AV68" s="71">
        <v>-2.2956047428409718</v>
      </c>
      <c r="AW68" s="71">
        <v>8.6658049903422896</v>
      </c>
      <c r="AX68" s="71">
        <v>20.602732786517375</v>
      </c>
      <c r="AY68" s="71">
        <v>33.515178645684244</v>
      </c>
      <c r="AZ68" s="71">
        <v>47.403142567842877</v>
      </c>
      <c r="BA68" s="71">
        <v>62.266624552993299</v>
      </c>
      <c r="BB68" s="71">
        <v>78.105624601135489</v>
      </c>
      <c r="BC68" s="71">
        <v>94.920142712269325</v>
      </c>
      <c r="BD68" s="71">
        <v>112.71017888639506</v>
      </c>
      <c r="BE68" s="71">
        <v>131.47573312351258</v>
      </c>
      <c r="BF68" s="71">
        <v>151.21680542362188</v>
      </c>
      <c r="BG68" s="71">
        <v>171.93339578672294</v>
      </c>
      <c r="BH68" s="71">
        <v>193.62550421281583</v>
      </c>
      <c r="BI68" s="71">
        <v>216.29313070190045</v>
      </c>
      <c r="BJ68" s="71">
        <v>239.93627525397665</v>
      </c>
      <c r="BK68" s="71">
        <v>264.55493786904481</v>
      </c>
      <c r="BL68" s="71">
        <v>290.14911854710476</v>
      </c>
      <c r="BM68" s="71">
        <v>316.71881728815652</v>
      </c>
      <c r="BN68" s="71">
        <v>344.26403409220001</v>
      </c>
      <c r="BO68" s="71">
        <v>372.78476895923535</v>
      </c>
      <c r="BP68" s="71">
        <v>402.28102188926238</v>
      </c>
      <c r="BQ68" s="71">
        <v>432.75279288228097</v>
      </c>
      <c r="BR68" s="71">
        <v>464.20008193829159</v>
      </c>
      <c r="BS68" s="71">
        <v>496.62288905729395</v>
      </c>
      <c r="BT68" s="71">
        <v>530.02121423928816</v>
      </c>
      <c r="BU68" s="71">
        <v>564.39505748427405</v>
      </c>
      <c r="BV68" s="71">
        <v>599.74441879225174</v>
      </c>
      <c r="BW68" s="71">
        <v>636.06929816322133</v>
      </c>
      <c r="BX68" s="71">
        <v>673.36969559718227</v>
      </c>
      <c r="BY68" s="71">
        <v>711.64561109413535</v>
      </c>
      <c r="BZ68" s="71">
        <v>750.89704465408022</v>
      </c>
      <c r="CA68" s="71">
        <v>791.12399627701677</v>
      </c>
      <c r="CB68" s="71">
        <v>832.32646596294501</v>
      </c>
      <c r="CC68" s="71">
        <v>874.50445371186538</v>
      </c>
      <c r="CD68" s="71">
        <v>917.65795952377721</v>
      </c>
      <c r="CE68" s="71">
        <v>961.7869833986806</v>
      </c>
      <c r="CF68" s="71">
        <v>1006.891525336576</v>
      </c>
      <c r="CG68" s="71">
        <v>1052.9715853374635</v>
      </c>
      <c r="CH68" s="71">
        <v>1100.0271634013422</v>
      </c>
      <c r="CI68" s="71">
        <v>1148.0582595282133</v>
      </c>
      <c r="CJ68" s="71">
        <v>1197.0648737180759</v>
      </c>
      <c r="CK68" s="71">
        <v>1247.0470059709305</v>
      </c>
      <c r="CL68" s="71">
        <v>1298.0046562867758</v>
      </c>
      <c r="CM68" s="71">
        <v>1349.9378246656145</v>
      </c>
      <c r="CN68" s="71">
        <v>1402.8465111074443</v>
      </c>
      <c r="CO68" s="71">
        <v>1456.7307156122658</v>
      </c>
      <c r="CP68" s="71">
        <v>1511.5904381800781</v>
      </c>
      <c r="CQ68" s="71">
        <v>1567.425678810883</v>
      </c>
      <c r="CR68" s="71">
        <v>1624.2364375046798</v>
      </c>
      <c r="CS68" s="71">
        <v>1682.0227142614685</v>
      </c>
      <c r="CT68" s="71">
        <v>1740.7845090812489</v>
      </c>
      <c r="CU68" s="71">
        <v>1800.5218219640208</v>
      </c>
      <c r="CV68" s="71">
        <v>1861.2346529097849</v>
      </c>
      <c r="CW68" s="71">
        <v>1922.9230019185406</v>
      </c>
      <c r="CX68" s="71">
        <v>1985.5868689902879</v>
      </c>
      <c r="CY68" s="71">
        <v>2049.2262541250275</v>
      </c>
      <c r="CZ68" s="71">
        <v>2113.8411573227581</v>
      </c>
      <c r="DA68" s="71">
        <v>2179.431578583481</v>
      </c>
      <c r="DB68" s="71">
        <v>2245.9975179071953</v>
      </c>
      <c r="DC68" s="71">
        <v>2313.5389752939022</v>
      </c>
      <c r="DD68" s="71">
        <v>2382.0559507435987</v>
      </c>
      <c r="DE68" s="71">
        <v>2451.5484442562888</v>
      </c>
      <c r="DF68" s="71">
        <v>2522.0164558319702</v>
      </c>
      <c r="DG68" s="71">
        <v>2593.4599854706439</v>
      </c>
      <c r="DH68" s="71">
        <v>2665.8790331723094</v>
      </c>
      <c r="DI68" s="71">
        <v>2739.2735989369662</v>
      </c>
      <c r="DJ68" s="71">
        <v>2813.6436827646144</v>
      </c>
    </row>
    <row r="69" spans="1:114" ht="20.100000000000001" customHeight="1" outlineLevel="1">
      <c r="A69" s="4"/>
      <c r="B69" s="30"/>
      <c r="C69" s="4"/>
      <c r="D69" s="4"/>
      <c r="E69" s="4"/>
      <c r="F69" s="4"/>
      <c r="G69" s="4"/>
      <c r="H69" s="4"/>
      <c r="I69" s="4"/>
      <c r="J69" s="4"/>
      <c r="K69" s="29"/>
      <c r="L69" s="3"/>
    </row>
    <row r="70" spans="1:114" ht="20.100000000000001" customHeight="1" outlineLevel="1">
      <c r="A70" s="4"/>
      <c r="B70" s="30"/>
      <c r="C70" s="4"/>
      <c r="D70" s="4"/>
      <c r="E70" s="4"/>
      <c r="F70" s="4"/>
      <c r="G70" s="4"/>
      <c r="H70" s="4"/>
      <c r="I70" s="4"/>
      <c r="J70" s="4"/>
      <c r="K70" s="29"/>
      <c r="L70" s="3"/>
    </row>
    <row r="71" spans="1:114" ht="20.100000000000001" customHeight="1" outlineLevel="1">
      <c r="A71" s="4"/>
      <c r="B71" s="30"/>
      <c r="C71" s="4"/>
      <c r="D71" s="4"/>
      <c r="E71" s="4"/>
      <c r="F71" s="4"/>
      <c r="G71" s="4"/>
      <c r="H71" s="4"/>
      <c r="I71" s="4"/>
      <c r="J71" s="4"/>
      <c r="K71" s="29"/>
      <c r="L71" s="3"/>
    </row>
    <row r="72" spans="1:114" ht="20.100000000000001" customHeight="1" outlineLevel="1">
      <c r="A72" s="4"/>
      <c r="B72" s="30"/>
      <c r="C72" s="4"/>
      <c r="D72" s="4"/>
      <c r="E72" s="4"/>
      <c r="F72" s="4"/>
      <c r="G72" s="4"/>
      <c r="H72" s="4"/>
      <c r="I72" s="4"/>
      <c r="J72" s="4"/>
      <c r="K72" s="29"/>
      <c r="L72" s="3"/>
    </row>
    <row r="73" spans="1:114" ht="20.100000000000001" customHeight="1" outlineLevel="1">
      <c r="A73" s="4"/>
      <c r="B73" s="30"/>
      <c r="C73" s="4"/>
      <c r="D73" s="4"/>
      <c r="E73" s="4"/>
      <c r="F73" s="4"/>
      <c r="G73" s="4"/>
      <c r="H73" s="4"/>
      <c r="I73" s="4"/>
      <c r="J73" s="4"/>
      <c r="K73" s="29"/>
      <c r="L73" s="3"/>
    </row>
    <row r="74" spans="1:114" ht="20.100000000000001" customHeight="1" outlineLevel="1">
      <c r="A74" s="4"/>
      <c r="B74" s="30"/>
      <c r="C74" s="4"/>
      <c r="D74" s="4"/>
      <c r="E74" s="4"/>
      <c r="F74" s="4"/>
      <c r="G74" s="4"/>
      <c r="H74" s="4"/>
      <c r="I74" s="4"/>
      <c r="J74" s="4"/>
      <c r="K74" s="29"/>
      <c r="L74" s="3"/>
    </row>
    <row r="75" spans="1:114" ht="20.100000000000001" customHeight="1" outlineLevel="1">
      <c r="A75" s="4"/>
      <c r="B75" s="30"/>
      <c r="C75" s="4"/>
      <c r="D75" s="4"/>
      <c r="E75" s="4"/>
      <c r="F75" s="4"/>
      <c r="G75" s="4"/>
      <c r="H75" s="4"/>
      <c r="I75" s="4"/>
      <c r="J75" s="4"/>
      <c r="K75" s="29"/>
      <c r="L75" s="3"/>
    </row>
    <row r="76" spans="1:114" ht="20.100000000000001" customHeight="1" outlineLevel="1">
      <c r="A76" s="4"/>
      <c r="B76" s="30"/>
      <c r="C76" s="4"/>
      <c r="D76" s="4"/>
      <c r="E76" s="4"/>
      <c r="F76" s="4"/>
      <c r="G76" s="4"/>
      <c r="H76" s="4"/>
      <c r="I76" s="4"/>
      <c r="J76" s="4"/>
      <c r="K76" s="29"/>
      <c r="L76" s="3"/>
    </row>
    <row r="77" spans="1:114" ht="20.100000000000001" customHeight="1" outlineLevel="1">
      <c r="A77" s="4"/>
      <c r="B77" s="30"/>
      <c r="C77" s="4"/>
      <c r="D77" s="4"/>
      <c r="E77" s="4"/>
      <c r="F77" s="4"/>
      <c r="G77" s="4"/>
      <c r="H77" s="4"/>
      <c r="I77" s="4"/>
      <c r="J77" s="4"/>
      <c r="K77" s="29"/>
      <c r="L77" s="3"/>
    </row>
    <row r="78" spans="1:114" ht="20.100000000000001" customHeight="1" outlineLevel="1">
      <c r="A78" s="4"/>
      <c r="B78" s="30"/>
      <c r="C78" s="4"/>
      <c r="D78" s="4"/>
      <c r="E78" s="4"/>
      <c r="F78" s="4"/>
      <c r="G78" s="4"/>
      <c r="H78" s="4"/>
      <c r="I78" s="4"/>
      <c r="J78" s="4"/>
      <c r="K78" s="29"/>
      <c r="L78" s="3"/>
    </row>
    <row r="79" spans="1:114" ht="20.100000000000001" customHeight="1" outlineLevel="1">
      <c r="A79" s="4"/>
      <c r="B79" s="30"/>
      <c r="C79" s="4"/>
      <c r="D79" s="4"/>
      <c r="E79" s="4"/>
      <c r="F79" s="4"/>
      <c r="G79" s="4"/>
      <c r="H79" s="4"/>
      <c r="I79" s="4"/>
      <c r="J79" s="4"/>
      <c r="K79" s="29"/>
      <c r="L79" s="3"/>
    </row>
    <row r="80" spans="1:114" ht="20.100000000000001" customHeight="1" outlineLevel="1">
      <c r="A80" s="4"/>
      <c r="B80" s="73"/>
      <c r="C80" s="72"/>
      <c r="D80" s="72"/>
      <c r="E80" s="72"/>
      <c r="F80" s="72"/>
      <c r="G80" s="72"/>
      <c r="H80" s="72"/>
      <c r="I80" s="72"/>
      <c r="J80" s="72"/>
      <c r="K80" s="74"/>
      <c r="L80" s="3"/>
    </row>
    <row r="81" spans="1:14" ht="20.100000000000001" customHeight="1" outlineLevel="1">
      <c r="A81" s="9"/>
      <c r="B81" s="17"/>
      <c r="C81" s="17"/>
      <c r="D81" s="17"/>
      <c r="E81" s="17"/>
      <c r="F81" s="17"/>
      <c r="G81" s="17"/>
      <c r="H81" s="17"/>
      <c r="I81" s="16"/>
      <c r="J81" s="68"/>
      <c r="K81" s="15"/>
      <c r="L81" s="3"/>
    </row>
    <row r="82" spans="1:14" ht="20.100000000000001" customHeight="1" outlineLevel="1">
      <c r="A82" s="75" t="str">
        <f>$A$64&amp;"."&amp;1</f>
        <v>B.2.1</v>
      </c>
      <c r="B82" s="12" t="s">
        <v>59</v>
      </c>
      <c r="C82" s="12"/>
      <c r="D82" s="12"/>
      <c r="E82" s="12"/>
      <c r="F82" s="12"/>
      <c r="G82" s="12"/>
      <c r="H82" s="12"/>
      <c r="I82" s="12"/>
      <c r="J82" s="77" t="s">
        <v>60</v>
      </c>
      <c r="K82" s="78" t="s">
        <v>61</v>
      </c>
      <c r="L82" s="3"/>
    </row>
    <row r="83" spans="1:14" ht="20.100000000000001" customHeight="1" outlineLevel="1">
      <c r="A83" s="9" t="s">
        <v>5</v>
      </c>
      <c r="B83" s="11" t="s">
        <v>325</v>
      </c>
      <c r="C83" s="11"/>
      <c r="D83" s="11"/>
      <c r="E83" s="11"/>
      <c r="F83" s="11"/>
      <c r="G83" s="11"/>
      <c r="H83" s="11"/>
      <c r="I83" s="10"/>
      <c r="J83" s="79">
        <v>-123.29166666666667</v>
      </c>
      <c r="K83" s="79">
        <v>2876</v>
      </c>
      <c r="L83" s="3"/>
    </row>
    <row r="84" spans="1:14" ht="20.100000000000001" customHeight="1" outlineLevel="1">
      <c r="A84" s="9" t="s">
        <v>4</v>
      </c>
      <c r="B84" s="8" t="s">
        <v>62</v>
      </c>
      <c r="C84" s="8"/>
      <c r="D84" s="8"/>
      <c r="E84" s="8"/>
      <c r="F84" s="8"/>
      <c r="G84" s="8"/>
      <c r="H84" s="8"/>
      <c r="I84" s="7"/>
      <c r="J84" s="79">
        <v>1698.4914691767408</v>
      </c>
      <c r="K84" s="79">
        <v>3595</v>
      </c>
      <c r="L84" s="3"/>
    </row>
    <row r="85" spans="1:14" ht="20.100000000000001" customHeight="1" outlineLevel="1">
      <c r="A85" s="9" t="s">
        <v>3</v>
      </c>
      <c r="B85" s="8" t="s">
        <v>63</v>
      </c>
      <c r="C85" s="8"/>
      <c r="D85" s="8"/>
      <c r="E85" s="8"/>
      <c r="F85" s="8"/>
      <c r="G85" s="8"/>
      <c r="H85" s="8"/>
      <c r="I85" s="7"/>
      <c r="J85" s="79">
        <v>138.78812876213851</v>
      </c>
      <c r="K85" s="79">
        <v>2896.8175079767402</v>
      </c>
      <c r="L85" s="3"/>
    </row>
    <row r="86" spans="1:14" ht="20.100000000000001" customHeight="1" outlineLevel="1">
      <c r="A86" s="9" t="s">
        <v>7</v>
      </c>
      <c r="B86" s="8" t="s">
        <v>65</v>
      </c>
      <c r="C86" s="8"/>
      <c r="D86" s="8"/>
      <c r="E86" s="8"/>
      <c r="F86" s="8"/>
      <c r="G86" s="8"/>
      <c r="H86" s="8"/>
      <c r="I86" s="7"/>
      <c r="J86" s="79">
        <v>-925.978526471961</v>
      </c>
      <c r="K86" s="79">
        <v>2865.3795655148106</v>
      </c>
      <c r="L86" s="3"/>
    </row>
    <row r="87" spans="1:14" ht="20.100000000000001" customHeight="1" outlineLevel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3"/>
    </row>
    <row r="88" spans="1:14" ht="20.100000000000001" customHeight="1" outlineLevel="1">
      <c r="A88" s="75" t="str">
        <f>$A$64&amp;"."&amp;2</f>
        <v>B.2.2</v>
      </c>
      <c r="B88" s="12" t="s">
        <v>64</v>
      </c>
      <c r="C88" s="12"/>
      <c r="D88" s="12"/>
      <c r="E88" s="12"/>
      <c r="F88" s="12"/>
      <c r="G88" s="12"/>
      <c r="H88" s="12"/>
      <c r="I88" s="78" t="s">
        <v>95</v>
      </c>
      <c r="J88" s="77" t="s">
        <v>68</v>
      </c>
      <c r="K88" s="78" t="s">
        <v>69</v>
      </c>
      <c r="L88" s="3"/>
    </row>
    <row r="89" spans="1:14" ht="20.100000000000001" customHeight="1" outlineLevel="1">
      <c r="A89" s="9" t="s">
        <v>5</v>
      </c>
      <c r="B89" s="11" t="s">
        <v>327</v>
      </c>
      <c r="C89" s="11"/>
      <c r="D89" s="11"/>
      <c r="E89" s="11"/>
      <c r="F89" s="11"/>
      <c r="G89" s="11"/>
      <c r="H89" s="11"/>
      <c r="I89" s="80">
        <v>2882334.8565053213</v>
      </c>
      <c r="J89" s="80">
        <v>7.6299908821886336E-2</v>
      </c>
      <c r="K89" s="80">
        <v>2.0211300272704248E-7</v>
      </c>
      <c r="L89" s="3"/>
    </row>
    <row r="90" spans="1:14" ht="20.100000000000001" customHeight="1" outlineLevel="1">
      <c r="A90" s="9" t="s">
        <v>4</v>
      </c>
      <c r="B90" s="8" t="s">
        <v>66</v>
      </c>
      <c r="C90" s="8"/>
      <c r="D90" s="8"/>
      <c r="E90" s="8"/>
      <c r="F90" s="8"/>
      <c r="G90" s="8"/>
      <c r="H90" s="8"/>
      <c r="I90" s="80">
        <v>2879513.1333646327</v>
      </c>
      <c r="J90" s="80">
        <v>3.0526772372728678E-2</v>
      </c>
      <c r="K90" s="80">
        <v>1.6483520675710313E-8</v>
      </c>
      <c r="L90" s="3"/>
    </row>
    <row r="91" spans="1:14" ht="20.100000000000001" customHeight="1" outlineLevel="1">
      <c r="A91" s="9" t="s">
        <v>3</v>
      </c>
      <c r="B91" s="8" t="s">
        <v>67</v>
      </c>
      <c r="C91" s="8"/>
      <c r="D91" s="8"/>
      <c r="E91" s="8"/>
      <c r="F91" s="8"/>
      <c r="G91" s="8"/>
      <c r="H91" s="8"/>
      <c r="I91" s="80">
        <v>2865379.5655148104</v>
      </c>
      <c r="J91" s="76">
        <v>0</v>
      </c>
      <c r="K91" s="76">
        <v>0</v>
      </c>
      <c r="L91" s="3"/>
    </row>
    <row r="92" spans="1:14" ht="20.100000000000001" customHeight="1" outlineLevel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3"/>
    </row>
    <row r="93" spans="1:14" ht="20.100000000000001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3"/>
    </row>
    <row r="94" spans="1:14" ht="20.100000000000001" customHeight="1" thickBot="1">
      <c r="A94" s="14" t="str">
        <f>$A$11&amp;"."&amp;3</f>
        <v>B.3</v>
      </c>
      <c r="B94" s="14" t="s">
        <v>70</v>
      </c>
      <c r="C94" s="14"/>
      <c r="D94" s="14"/>
      <c r="E94" s="14"/>
      <c r="F94" s="14"/>
      <c r="G94" s="14"/>
      <c r="H94" s="14"/>
      <c r="I94" s="14"/>
      <c r="J94" s="14"/>
      <c r="K94" s="13"/>
      <c r="L94" s="3"/>
    </row>
    <row r="95" spans="1:14" ht="20.100000000000001" customHeight="1" outlineLevel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3"/>
    </row>
    <row r="96" spans="1:14" ht="20.100000000000001" customHeight="1" outlineLevel="1">
      <c r="A96" s="4"/>
      <c r="B96" s="33"/>
      <c r="C96" s="32"/>
      <c r="D96" s="32"/>
      <c r="E96" s="32"/>
      <c r="F96" s="32"/>
      <c r="G96" s="32"/>
      <c r="H96" s="32"/>
      <c r="I96" s="32"/>
      <c r="J96" s="32"/>
      <c r="K96" s="31"/>
      <c r="L96" s="3"/>
      <c r="N96" s="70"/>
    </row>
    <row r="97" spans="1:14" ht="20.100000000000001" customHeight="1" outlineLevel="1">
      <c r="A97" s="4"/>
      <c r="B97" s="30"/>
      <c r="C97" s="4"/>
      <c r="D97" s="4"/>
      <c r="E97" s="4"/>
      <c r="F97" s="4"/>
      <c r="G97" s="4"/>
      <c r="H97" s="4"/>
      <c r="I97" s="4"/>
      <c r="J97" s="4"/>
      <c r="K97" s="29"/>
      <c r="L97" s="3"/>
      <c r="N97" s="70"/>
    </row>
    <row r="98" spans="1:14" ht="20.100000000000001" customHeight="1" outlineLevel="1">
      <c r="A98" s="4"/>
      <c r="B98" s="30"/>
      <c r="C98" s="4"/>
      <c r="D98" s="4"/>
      <c r="E98" s="4"/>
      <c r="F98" s="4"/>
      <c r="G98" s="4"/>
      <c r="H98" s="4"/>
      <c r="I98" s="4"/>
      <c r="J98" s="4"/>
      <c r="K98" s="29"/>
      <c r="L98" s="3"/>
      <c r="N98" s="70"/>
    </row>
    <row r="99" spans="1:14" ht="20.100000000000001" customHeight="1" outlineLevel="1">
      <c r="A99" s="4"/>
      <c r="B99" s="30"/>
      <c r="C99" s="4"/>
      <c r="D99" s="4"/>
      <c r="E99" s="4"/>
      <c r="F99" s="4"/>
      <c r="G99" s="4"/>
      <c r="H99" s="4"/>
      <c r="I99" s="4"/>
      <c r="J99" s="4"/>
      <c r="K99" s="29"/>
      <c r="L99" s="3"/>
    </row>
    <row r="100" spans="1:14" ht="20.100000000000001" customHeight="1" outlineLevel="1">
      <c r="A100" s="4"/>
      <c r="B100" s="30"/>
      <c r="C100" s="4"/>
      <c r="D100" s="4"/>
      <c r="E100" s="4"/>
      <c r="F100" s="4"/>
      <c r="G100" s="4"/>
      <c r="H100" s="4"/>
      <c r="I100" s="4"/>
      <c r="J100" s="4"/>
      <c r="K100" s="29"/>
      <c r="L100" s="3"/>
    </row>
    <row r="101" spans="1:14" ht="20.100000000000001" customHeight="1" outlineLevel="1">
      <c r="A101" s="4"/>
      <c r="B101" s="30"/>
      <c r="C101" s="4"/>
      <c r="D101" s="4"/>
      <c r="E101" s="4"/>
      <c r="F101" s="4"/>
      <c r="G101" s="4"/>
      <c r="H101" s="4"/>
      <c r="I101" s="4"/>
      <c r="J101" s="4"/>
      <c r="K101" s="29"/>
      <c r="L101" s="3"/>
    </row>
    <row r="102" spans="1:14" ht="20.100000000000001" customHeight="1" outlineLevel="1">
      <c r="A102" s="4"/>
      <c r="B102" s="30"/>
      <c r="C102" s="4"/>
      <c r="D102" s="4"/>
      <c r="E102" s="4"/>
      <c r="F102" s="4"/>
      <c r="G102" s="4"/>
      <c r="H102" s="4"/>
      <c r="I102" s="4"/>
      <c r="J102" s="4"/>
      <c r="K102" s="29"/>
      <c r="L102" s="3"/>
    </row>
    <row r="103" spans="1:14" ht="20.100000000000001" customHeight="1" outlineLevel="1">
      <c r="A103" s="4"/>
      <c r="B103" s="30"/>
      <c r="C103" s="4"/>
      <c r="D103" s="4"/>
      <c r="E103" s="4"/>
      <c r="F103" s="4"/>
      <c r="G103" s="4"/>
      <c r="H103" s="4"/>
      <c r="I103" s="4"/>
      <c r="J103" s="4"/>
      <c r="K103" s="29"/>
      <c r="L103" s="3"/>
    </row>
    <row r="104" spans="1:14" ht="20.100000000000001" customHeight="1" outlineLevel="1">
      <c r="A104" s="4"/>
      <c r="B104" s="30"/>
      <c r="C104" s="4"/>
      <c r="D104" s="4"/>
      <c r="E104" s="4"/>
      <c r="F104" s="4"/>
      <c r="G104" s="4"/>
      <c r="H104" s="4"/>
      <c r="I104" s="4"/>
      <c r="J104" s="4"/>
      <c r="K104" s="29"/>
      <c r="L104" s="3"/>
    </row>
    <row r="105" spans="1:14" ht="20.100000000000001" customHeight="1" outlineLevel="1">
      <c r="A105" s="4"/>
      <c r="B105" s="30"/>
      <c r="C105" s="4"/>
      <c r="D105" s="4"/>
      <c r="E105" s="4"/>
      <c r="F105" s="4"/>
      <c r="G105" s="4"/>
      <c r="H105" s="4"/>
      <c r="I105" s="4"/>
      <c r="J105" s="4"/>
      <c r="K105" s="29"/>
      <c r="L105" s="3"/>
    </row>
    <row r="106" spans="1:14" ht="20.100000000000001" customHeight="1" outlineLevel="1">
      <c r="A106" s="4"/>
      <c r="B106" s="30"/>
      <c r="C106" s="4"/>
      <c r="D106" s="4"/>
      <c r="E106" s="4"/>
      <c r="F106" s="4"/>
      <c r="G106" s="4"/>
      <c r="H106" s="4"/>
      <c r="I106" s="4"/>
      <c r="J106" s="4"/>
      <c r="K106" s="29"/>
      <c r="L106" s="3"/>
    </row>
    <row r="107" spans="1:14" ht="20.100000000000001" customHeight="1" outlineLevel="1">
      <c r="A107" s="4"/>
      <c r="B107" s="30"/>
      <c r="C107" s="4"/>
      <c r="D107" s="4"/>
      <c r="E107" s="4"/>
      <c r="F107" s="4"/>
      <c r="G107" s="4"/>
      <c r="H107" s="4"/>
      <c r="I107" s="4"/>
      <c r="J107" s="4"/>
      <c r="K107" s="29"/>
      <c r="L107" s="3"/>
    </row>
    <row r="108" spans="1:14" ht="20.100000000000001" customHeight="1" outlineLevel="1">
      <c r="A108" s="4"/>
      <c r="B108" s="30"/>
      <c r="C108" s="4"/>
      <c r="D108" s="4"/>
      <c r="E108" s="4"/>
      <c r="F108" s="4"/>
      <c r="G108" s="4"/>
      <c r="H108" s="4"/>
      <c r="I108" s="4"/>
      <c r="J108" s="4"/>
      <c r="K108" s="29"/>
      <c r="L108" s="3"/>
    </row>
    <row r="109" spans="1:14" ht="20.100000000000001" customHeight="1" outlineLevel="1">
      <c r="A109" s="4"/>
      <c r="B109" s="30"/>
      <c r="C109" s="4"/>
      <c r="D109" s="4"/>
      <c r="E109" s="4"/>
      <c r="F109" s="4"/>
      <c r="G109" s="4"/>
      <c r="H109" s="4"/>
      <c r="I109" s="4"/>
      <c r="J109" s="4"/>
      <c r="K109" s="29"/>
      <c r="L109" s="3"/>
    </row>
    <row r="110" spans="1:14" ht="20.100000000000001" customHeight="1" outlineLevel="1">
      <c r="A110" s="4"/>
      <c r="B110" s="73"/>
      <c r="C110" s="72"/>
      <c r="D110" s="72"/>
      <c r="E110" s="72"/>
      <c r="F110" s="72"/>
      <c r="G110" s="72"/>
      <c r="H110" s="72"/>
      <c r="I110" s="72"/>
      <c r="J110" s="72"/>
      <c r="K110" s="74"/>
      <c r="L110" s="3"/>
    </row>
    <row r="111" spans="1:14" ht="20.100000000000001" customHeight="1" outlineLevel="1">
      <c r="A111" s="9"/>
      <c r="B111" s="17"/>
      <c r="C111" s="17"/>
      <c r="D111" s="17"/>
      <c r="E111" s="17"/>
      <c r="F111" s="17"/>
      <c r="G111" s="17"/>
      <c r="H111" s="17"/>
      <c r="I111" s="16"/>
      <c r="J111" s="68"/>
      <c r="K111" s="15"/>
      <c r="L111" s="3"/>
    </row>
    <row r="112" spans="1:14" ht="20.100000000000001" customHeight="1" outlineLevel="1">
      <c r="A112" s="75" t="str">
        <f>$A$94&amp;"."&amp;1</f>
        <v>B.3.1</v>
      </c>
      <c r="B112" s="12" t="s">
        <v>59</v>
      </c>
      <c r="C112" s="12"/>
      <c r="D112" s="12"/>
      <c r="E112" s="12"/>
      <c r="F112" s="12"/>
      <c r="G112" s="12"/>
      <c r="H112" s="12"/>
      <c r="I112" s="12"/>
      <c r="J112" s="77" t="s">
        <v>60</v>
      </c>
      <c r="K112" s="78" t="s">
        <v>71</v>
      </c>
      <c r="L112" s="3"/>
    </row>
    <row r="113" spans="1:21" ht="20.100000000000001" customHeight="1" outlineLevel="1">
      <c r="A113" s="9" t="s">
        <v>5</v>
      </c>
      <c r="B113" s="11" t="s">
        <v>325</v>
      </c>
      <c r="C113" s="11"/>
      <c r="D113" s="11"/>
      <c r="E113" s="11"/>
      <c r="F113" s="11"/>
      <c r="G113" s="11"/>
      <c r="H113" s="11"/>
      <c r="I113" s="10"/>
      <c r="J113" s="79">
        <f>point1.Z</f>
        <v>-123.29166666666667</v>
      </c>
      <c r="K113" s="79">
        <v>-25.428493162164081</v>
      </c>
      <c r="L113" s="3"/>
    </row>
    <row r="114" spans="1:21" ht="20.100000000000001" customHeight="1" outlineLevel="1">
      <c r="A114" s="9" t="s">
        <v>4</v>
      </c>
      <c r="B114" s="8" t="s">
        <v>62</v>
      </c>
      <c r="C114" s="8"/>
      <c r="D114" s="8"/>
      <c r="E114" s="8"/>
      <c r="F114" s="8"/>
      <c r="G114" s="8"/>
      <c r="H114" s="8"/>
      <c r="I114" s="7"/>
      <c r="J114" s="79">
        <f>point2.Z</f>
        <v>1698.4914691767408</v>
      </c>
      <c r="K114" s="79">
        <v>2589.7950560094532</v>
      </c>
      <c r="L114" s="3"/>
    </row>
    <row r="115" spans="1:21" ht="20.100000000000001" customHeight="1" outlineLevel="1">
      <c r="A115" s="9" t="s">
        <v>3</v>
      </c>
      <c r="B115" s="8" t="s">
        <v>63</v>
      </c>
      <c r="C115" s="8"/>
      <c r="D115" s="8"/>
      <c r="E115" s="8"/>
      <c r="F115" s="8"/>
      <c r="G115" s="8"/>
      <c r="H115" s="8"/>
      <c r="I115" s="7"/>
      <c r="J115" s="79">
        <f>point3.Z</f>
        <v>138.78812876213851</v>
      </c>
      <c r="K115" s="79">
        <v>93.465387681741589</v>
      </c>
      <c r="L115" s="3"/>
    </row>
    <row r="116" spans="1:21" ht="20.100000000000001" customHeight="1" outlineLevel="1">
      <c r="A116" s="9" t="s">
        <v>7</v>
      </c>
      <c r="B116" s="8" t="s">
        <v>65</v>
      </c>
      <c r="C116" s="8"/>
      <c r="D116" s="8"/>
      <c r="E116" s="8"/>
      <c r="F116" s="8"/>
      <c r="G116" s="8"/>
      <c r="H116" s="8"/>
      <c r="I116" s="7"/>
      <c r="J116" s="79">
        <f>point4.Z</f>
        <v>-925.978526471961</v>
      </c>
      <c r="K116" s="79">
        <v>-141.28395786745503</v>
      </c>
      <c r="L116" s="3"/>
    </row>
    <row r="117" spans="1:21" ht="20.100000000000001" customHeight="1" outlineLevel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3"/>
    </row>
    <row r="118" spans="1:21" ht="20.100000000000001" customHeight="1" outlineLevel="1">
      <c r="A118" s="75" t="str">
        <f>$A$94&amp;"."&amp;2</f>
        <v>B.3.2</v>
      </c>
      <c r="B118" s="12" t="s">
        <v>64</v>
      </c>
      <c r="C118" s="12"/>
      <c r="D118" s="12"/>
      <c r="E118" s="12"/>
      <c r="F118" s="12"/>
      <c r="G118" s="12"/>
      <c r="H118" s="12"/>
      <c r="I118" s="78" t="s">
        <v>95</v>
      </c>
      <c r="J118" s="77" t="s">
        <v>68</v>
      </c>
      <c r="K118" s="78" t="s">
        <v>69</v>
      </c>
      <c r="L118" s="3"/>
    </row>
    <row r="119" spans="1:21" ht="20.100000000000001" customHeight="1" outlineLevel="1">
      <c r="A119" s="9" t="s">
        <v>5</v>
      </c>
      <c r="B119" s="11" t="s">
        <v>327</v>
      </c>
      <c r="C119" s="11"/>
      <c r="D119" s="11"/>
      <c r="E119" s="11"/>
      <c r="F119" s="11"/>
      <c r="G119" s="11"/>
      <c r="H119" s="11"/>
      <c r="I119" s="80">
        <v>19.731332459564221</v>
      </c>
      <c r="J119" s="80">
        <v>4.4389984123060973E-4</v>
      </c>
      <c r="K119" s="80">
        <v>6.2952631174176878E-10</v>
      </c>
      <c r="L119" s="3"/>
    </row>
    <row r="120" spans="1:21" ht="20.100000000000001" customHeight="1" outlineLevel="1">
      <c r="A120" s="9" t="s">
        <v>4</v>
      </c>
      <c r="B120" s="8" t="s">
        <v>66</v>
      </c>
      <c r="C120" s="8"/>
      <c r="D120" s="8"/>
      <c r="E120" s="8"/>
      <c r="F120" s="8"/>
      <c r="G120" s="8"/>
      <c r="H120" s="8"/>
      <c r="I120" s="80">
        <v>12.895334276227336</v>
      </c>
      <c r="J120" s="80">
        <v>3.33008353295439E-4</v>
      </c>
      <c r="K120" s="80">
        <v>1.7981429578298252E-10</v>
      </c>
      <c r="L120" s="3"/>
    </row>
    <row r="121" spans="1:21" ht="20.100000000000001" customHeight="1" outlineLevel="1">
      <c r="A121" s="9" t="s">
        <v>3</v>
      </c>
      <c r="B121" s="8" t="s">
        <v>67</v>
      </c>
      <c r="C121" s="8"/>
      <c r="D121" s="8"/>
      <c r="E121" s="8"/>
      <c r="F121" s="8"/>
      <c r="G121" s="8"/>
      <c r="H121" s="8"/>
      <c r="I121" s="80">
        <v>-141.28395786745503</v>
      </c>
      <c r="J121" s="76">
        <v>0</v>
      </c>
      <c r="K121" s="76">
        <v>0</v>
      </c>
      <c r="L121" s="3"/>
    </row>
    <row r="122" spans="1:21" ht="20.100000000000001" customHeight="1" outlineLevel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3"/>
    </row>
    <row r="123" spans="1:21" ht="20.100000000000001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3"/>
    </row>
    <row r="124" spans="1:21" ht="20.100000000000001" customHeight="1" thickBot="1">
      <c r="A124" s="14" t="str">
        <f>$A$11&amp;"."&amp;4</f>
        <v>B.4</v>
      </c>
      <c r="B124" s="14" t="s">
        <v>255</v>
      </c>
      <c r="C124" s="14"/>
      <c r="D124" s="14"/>
      <c r="E124" s="14"/>
      <c r="F124" s="14"/>
      <c r="G124" s="14"/>
      <c r="H124" s="14"/>
      <c r="I124" s="14"/>
      <c r="J124" s="14"/>
      <c r="K124" s="13"/>
      <c r="L124" s="3"/>
      <c r="U124" s="99"/>
    </row>
    <row r="125" spans="1:21" ht="20.100000000000001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3"/>
      <c r="U125" s="99"/>
    </row>
    <row r="126" spans="1:21" ht="20.100000000000001" customHeight="1">
      <c r="A126" s="75" t="str">
        <f>$A$124&amp;"."&amp;1</f>
        <v>B.4.1</v>
      </c>
      <c r="B126" s="12" t="s">
        <v>258</v>
      </c>
      <c r="C126" s="12"/>
      <c r="D126" s="12"/>
      <c r="E126" s="12"/>
      <c r="F126" s="12"/>
      <c r="G126" s="12"/>
      <c r="H126" s="12"/>
      <c r="I126" s="12"/>
      <c r="J126" s="126"/>
      <c r="K126" s="12"/>
      <c r="L126" s="3"/>
      <c r="U126" s="99"/>
    </row>
    <row r="127" spans="1:21" ht="20.100000000000001" customHeight="1">
      <c r="A127" s="9" t="s">
        <v>5</v>
      </c>
      <c r="B127" s="11" t="s">
        <v>263</v>
      </c>
      <c r="C127" s="11"/>
      <c r="D127" s="11"/>
      <c r="E127" s="11"/>
      <c r="F127" s="11"/>
      <c r="G127" s="11"/>
      <c r="H127" s="11"/>
      <c r="I127" s="10" t="s">
        <v>264</v>
      </c>
      <c r="J127" s="127">
        <v>1.4</v>
      </c>
      <c r="K127" s="93" t="s">
        <v>265</v>
      </c>
      <c r="L127" s="3"/>
      <c r="U127" s="99"/>
    </row>
    <row r="128" spans="1:21" ht="20.100000000000001" customHeight="1">
      <c r="A128" s="9" t="s">
        <v>4</v>
      </c>
      <c r="B128" s="11" t="s">
        <v>259</v>
      </c>
      <c r="C128" s="11"/>
      <c r="D128" s="11"/>
      <c r="E128" s="11"/>
      <c r="F128" s="11"/>
      <c r="G128" s="11"/>
      <c r="H128" s="11"/>
      <c r="I128" s="10" t="s">
        <v>260</v>
      </c>
      <c r="J128" s="97">
        <v>0.74253427729521959</v>
      </c>
      <c r="K128" s="93" t="s">
        <v>8</v>
      </c>
      <c r="L128" s="3"/>
      <c r="U128" s="99"/>
    </row>
    <row r="129" spans="1:21" ht="20.100000000000001" customHeight="1">
      <c r="A129" s="9" t="s">
        <v>3</v>
      </c>
      <c r="B129" s="8" t="s">
        <v>261</v>
      </c>
      <c r="C129" s="8"/>
      <c r="D129" s="8"/>
      <c r="E129" s="8"/>
      <c r="F129" s="8"/>
      <c r="G129" s="8"/>
      <c r="H129" s="8"/>
      <c r="I129" s="7" t="s">
        <v>262</v>
      </c>
      <c r="J129" s="67">
        <v>0.63575115537527982</v>
      </c>
      <c r="K129" s="5" t="s">
        <v>87</v>
      </c>
      <c r="L129" s="3"/>
      <c r="U129" s="99"/>
    </row>
    <row r="130" spans="1:21" ht="20.100000000000001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3"/>
      <c r="U130" s="99"/>
    </row>
    <row r="131" spans="1:21" ht="20.100000000000001" customHeight="1">
      <c r="A131" s="75" t="str">
        <f>$A$124&amp;"."&amp;1</f>
        <v>B.4.1</v>
      </c>
      <c r="B131" s="12" t="s">
        <v>242</v>
      </c>
      <c r="C131" s="12"/>
      <c r="D131" s="12"/>
      <c r="E131" s="12"/>
      <c r="F131" s="12"/>
      <c r="G131" s="12"/>
      <c r="H131" s="12"/>
      <c r="I131" s="12"/>
      <c r="J131" s="12"/>
      <c r="K131" s="12"/>
      <c r="L131" s="3"/>
      <c r="U131" s="99"/>
    </row>
    <row r="132" spans="1:21" ht="20.100000000000001" customHeight="1">
      <c r="A132" s="9" t="s">
        <v>5</v>
      </c>
      <c r="B132" s="8" t="s">
        <v>243</v>
      </c>
      <c r="C132" s="8"/>
      <c r="D132" s="8"/>
      <c r="E132" s="8"/>
      <c r="F132" s="8"/>
      <c r="G132" s="8"/>
      <c r="H132" s="8"/>
      <c r="I132" s="7" t="s">
        <v>244</v>
      </c>
      <c r="J132" s="97">
        <v>2.0853981633974481</v>
      </c>
      <c r="K132" s="5" t="s">
        <v>87</v>
      </c>
      <c r="L132" s="3"/>
      <c r="U132" s="99"/>
    </row>
    <row r="133" spans="1:21" ht="20.100000000000001" customHeight="1">
      <c r="A133" s="9" t="s">
        <v>4</v>
      </c>
      <c r="B133" s="8" t="s">
        <v>245</v>
      </c>
      <c r="C133" s="8"/>
      <c r="D133" s="8"/>
      <c r="E133" s="8"/>
      <c r="F133" s="8"/>
      <c r="G133" s="8"/>
      <c r="H133" s="8"/>
      <c r="I133" s="7" t="s">
        <v>246</v>
      </c>
      <c r="J133" s="152">
        <v>2205.3060735850058</v>
      </c>
      <c r="K133" s="5" t="s">
        <v>82</v>
      </c>
      <c r="L133" s="3"/>
      <c r="U133" s="99"/>
    </row>
    <row r="134" spans="1:21" ht="20.100000000000001" customHeight="1">
      <c r="A134" s="9" t="s">
        <v>3</v>
      </c>
      <c r="B134" s="8" t="s">
        <v>286</v>
      </c>
      <c r="C134" s="8"/>
      <c r="D134" s="8"/>
      <c r="E134" s="8"/>
      <c r="F134" s="8"/>
      <c r="G134" s="8"/>
      <c r="H134" s="8"/>
      <c r="I134" s="7" t="s">
        <v>287</v>
      </c>
      <c r="J134" s="98">
        <v>87000.000000000029</v>
      </c>
      <c r="K134" s="5" t="s">
        <v>220</v>
      </c>
      <c r="L134" s="3"/>
      <c r="U134" s="99"/>
    </row>
    <row r="135" spans="1:21" ht="20.100000000000001" customHeight="1">
      <c r="A135" s="9" t="s">
        <v>7</v>
      </c>
      <c r="B135" s="8" t="s">
        <v>288</v>
      </c>
      <c r="C135" s="8"/>
      <c r="D135" s="8"/>
      <c r="E135" s="8"/>
      <c r="F135" s="8"/>
      <c r="G135" s="8"/>
      <c r="H135" s="8"/>
      <c r="I135" s="7" t="s">
        <v>289</v>
      </c>
      <c r="J135" s="151">
        <v>290000000.00000006</v>
      </c>
      <c r="K135" s="5" t="s">
        <v>290</v>
      </c>
      <c r="L135" s="3"/>
      <c r="U135" s="99"/>
    </row>
    <row r="136" spans="1:21" ht="20.100000000000001" customHeight="1">
      <c r="A136" s="9" t="s">
        <v>6</v>
      </c>
      <c r="B136" s="8" t="s">
        <v>247</v>
      </c>
      <c r="C136" s="8"/>
      <c r="D136" s="8"/>
      <c r="E136" s="8"/>
      <c r="F136" s="8"/>
      <c r="G136" s="8"/>
      <c r="H136" s="8"/>
      <c r="I136" s="7" t="s">
        <v>248</v>
      </c>
      <c r="J136" s="152">
        <v>95.752229149457534</v>
      </c>
      <c r="K136" s="5" t="s">
        <v>82</v>
      </c>
      <c r="L136" s="3"/>
      <c r="U136" s="99"/>
    </row>
    <row r="137" spans="1:21" ht="20.100000000000001" customHeight="1">
      <c r="A137" s="9" t="s">
        <v>32</v>
      </c>
      <c r="B137" s="8" t="s">
        <v>80</v>
      </c>
      <c r="C137" s="8"/>
      <c r="D137" s="8"/>
      <c r="E137" s="8"/>
      <c r="F137" s="8"/>
      <c r="G137" s="8"/>
      <c r="H137" s="8"/>
      <c r="I137" s="7" t="s">
        <v>81</v>
      </c>
      <c r="J137" s="62">
        <v>5062.3282660158193</v>
      </c>
      <c r="K137" s="5" t="s">
        <v>82</v>
      </c>
      <c r="L137" s="3"/>
      <c r="N137" s="119"/>
      <c r="O137" s="119"/>
      <c r="P137" s="119"/>
      <c r="Q137" s="119"/>
      <c r="R137" s="119"/>
      <c r="S137" s="119"/>
    </row>
    <row r="138" spans="1:21" ht="20.100000000000001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3"/>
      <c r="U138" s="99"/>
    </row>
    <row r="139" spans="1:21" ht="20.100000000000001" customHeight="1">
      <c r="A139" s="75" t="str">
        <f>$A$124&amp;"."&amp;2</f>
        <v>B.4.2</v>
      </c>
      <c r="B139" s="126" t="s">
        <v>251</v>
      </c>
      <c r="C139" s="126"/>
      <c r="D139" s="126"/>
      <c r="E139" s="126"/>
      <c r="F139" s="126"/>
      <c r="G139" s="126"/>
      <c r="H139" s="126"/>
      <c r="I139" s="126"/>
      <c r="J139" s="126"/>
      <c r="K139" s="126"/>
      <c r="L139" s="3"/>
      <c r="U139" s="99"/>
    </row>
    <row r="140" spans="1:21" ht="20.100000000000001" customHeight="1">
      <c r="A140" s="9" t="s">
        <v>5</v>
      </c>
      <c r="B140" s="8" t="s">
        <v>252</v>
      </c>
      <c r="C140" s="8"/>
      <c r="D140" s="8"/>
      <c r="E140" s="8"/>
      <c r="F140" s="8"/>
      <c r="G140" s="8"/>
      <c r="H140" s="8"/>
      <c r="I140" s="7" t="s">
        <v>253</v>
      </c>
      <c r="J140" s="67">
        <v>0.44059794100892152</v>
      </c>
      <c r="K140" s="5" t="s">
        <v>8</v>
      </c>
      <c r="L140" s="3"/>
      <c r="U140" s="99"/>
    </row>
    <row r="141" spans="1:21" ht="20.100000000000001" customHeight="1">
      <c r="A141" s="9" t="s">
        <v>4</v>
      </c>
      <c r="B141" s="8" t="s">
        <v>249</v>
      </c>
      <c r="C141" s="8"/>
      <c r="D141" s="8"/>
      <c r="E141" s="8"/>
      <c r="F141" s="8"/>
      <c r="G141" s="8"/>
      <c r="H141" s="8"/>
      <c r="I141" s="7" t="s">
        <v>250</v>
      </c>
      <c r="J141" s="62">
        <v>14798.60711052339</v>
      </c>
      <c r="K141" s="5" t="s">
        <v>82</v>
      </c>
      <c r="L141" s="3"/>
      <c r="U141" s="99"/>
    </row>
    <row r="142" spans="1:21" ht="20.100000000000001" customHeight="1">
      <c r="A142" s="9" t="s">
        <v>3</v>
      </c>
      <c r="B142" s="8" t="s">
        <v>85</v>
      </c>
      <c r="C142" s="8"/>
      <c r="D142" s="8"/>
      <c r="E142" s="8"/>
      <c r="F142" s="8"/>
      <c r="G142" s="8"/>
      <c r="H142" s="8"/>
      <c r="I142" s="82" t="s">
        <v>86</v>
      </c>
      <c r="J142" s="6">
        <v>1.3420814018649068</v>
      </c>
      <c r="K142" s="5" t="s">
        <v>87</v>
      </c>
      <c r="L142" s="3"/>
    </row>
    <row r="143" spans="1:21" ht="20.100000000000001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3"/>
      <c r="U143" s="99"/>
    </row>
    <row r="144" spans="1:21" ht="20.100000000000001" customHeight="1">
      <c r="A144" s="75" t="str">
        <f>$A$124&amp;"."&amp;3</f>
        <v>B.4.3</v>
      </c>
      <c r="B144" s="12" t="s">
        <v>254</v>
      </c>
      <c r="C144" s="12"/>
      <c r="D144" s="12"/>
      <c r="E144" s="12"/>
      <c r="F144" s="12"/>
      <c r="G144" s="12"/>
      <c r="H144" s="12"/>
      <c r="I144" s="12"/>
      <c r="J144" s="12"/>
      <c r="K144" s="12"/>
      <c r="L144" s="3"/>
      <c r="U144" s="99"/>
    </row>
    <row r="145" spans="1:21" ht="20.100000000000001" customHeight="1">
      <c r="A145" s="9" t="s">
        <v>5</v>
      </c>
      <c r="B145" s="8" t="s">
        <v>74</v>
      </c>
      <c r="C145" s="8"/>
      <c r="D145" s="8"/>
      <c r="E145" s="8"/>
      <c r="F145" s="8"/>
      <c r="G145" s="8"/>
      <c r="H145" s="8"/>
      <c r="I145" s="7" t="s">
        <v>75</v>
      </c>
      <c r="J145" s="62">
        <v>2068.2520235998149</v>
      </c>
      <c r="K145" s="5" t="s">
        <v>9</v>
      </c>
      <c r="L145" s="3"/>
      <c r="U145" s="101"/>
    </row>
    <row r="146" spans="1:21" ht="20.100000000000001" customHeight="1">
      <c r="A146" s="9" t="s">
        <v>4</v>
      </c>
      <c r="B146" s="8" t="s">
        <v>76</v>
      </c>
      <c r="C146" s="8"/>
      <c r="D146" s="8"/>
      <c r="E146" s="8"/>
      <c r="F146" s="8"/>
      <c r="G146" s="8"/>
      <c r="H146" s="8"/>
      <c r="I146" s="7" t="s">
        <v>77</v>
      </c>
      <c r="J146" s="62">
        <v>1265.5651637945207</v>
      </c>
      <c r="K146" s="5" t="s">
        <v>9</v>
      </c>
      <c r="L146" s="3"/>
      <c r="U146" s="101"/>
    </row>
    <row r="147" spans="1:21" ht="20.100000000000001" customHeight="1">
      <c r="A147" s="9" t="s">
        <v>3</v>
      </c>
      <c r="B147" s="8" t="s">
        <v>329</v>
      </c>
      <c r="C147" s="8"/>
      <c r="D147" s="8"/>
      <c r="E147" s="8"/>
      <c r="F147" s="8"/>
      <c r="G147" s="8"/>
      <c r="H147" s="8"/>
      <c r="I147" s="81" t="s">
        <v>330</v>
      </c>
      <c r="J147" s="62">
        <v>0</v>
      </c>
      <c r="K147" s="5" t="s">
        <v>9</v>
      </c>
      <c r="L147" s="3"/>
      <c r="U147" s="101"/>
    </row>
    <row r="148" spans="1:21" ht="20.100000000000001" customHeight="1">
      <c r="A148" s="9" t="s">
        <v>7</v>
      </c>
      <c r="B148" s="8" t="s">
        <v>83</v>
      </c>
      <c r="C148" s="8"/>
      <c r="D148" s="8"/>
      <c r="E148" s="8"/>
      <c r="F148" s="8"/>
      <c r="G148" s="8"/>
      <c r="H148" s="8"/>
      <c r="I148" s="81" t="s">
        <v>84</v>
      </c>
      <c r="J148" s="62">
        <v>-802.68685980529438</v>
      </c>
      <c r="K148" s="5" t="s">
        <v>9</v>
      </c>
      <c r="L148" s="3"/>
    </row>
    <row r="149" spans="1:21" ht="20.100000000000001" customHeight="1">
      <c r="A149" s="9" t="s">
        <v>6</v>
      </c>
      <c r="B149" s="8" t="s">
        <v>332</v>
      </c>
      <c r="C149" s="8"/>
      <c r="D149" s="8"/>
      <c r="E149" s="8"/>
      <c r="F149" s="8"/>
      <c r="G149" s="8"/>
      <c r="H149" s="8"/>
      <c r="I149" s="81" t="s">
        <v>333</v>
      </c>
      <c r="J149" s="62">
        <v>-802.68685980529438</v>
      </c>
      <c r="K149" s="5" t="s">
        <v>9</v>
      </c>
      <c r="L149" s="3"/>
    </row>
    <row r="150" spans="1:21" ht="20.100000000000001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3"/>
      <c r="U150" s="99"/>
    </row>
    <row r="151" spans="1:21" ht="20.100000000000001" customHeight="1">
      <c r="A151" s="75" t="str">
        <f>$A$124&amp;"."&amp;4</f>
        <v>B.4.4</v>
      </c>
      <c r="B151" s="12" t="s">
        <v>256</v>
      </c>
      <c r="C151" s="12"/>
      <c r="D151" s="12"/>
      <c r="E151" s="12"/>
      <c r="F151" s="12"/>
      <c r="G151" s="12"/>
      <c r="H151" s="12"/>
      <c r="I151" s="12"/>
      <c r="J151" s="12"/>
      <c r="K151" s="12"/>
      <c r="L151" s="3"/>
      <c r="U151" s="99"/>
    </row>
    <row r="152" spans="1:21" ht="20.100000000000001" customHeight="1">
      <c r="A152" s="9" t="s">
        <v>5</v>
      </c>
      <c r="B152" s="8" t="s">
        <v>88</v>
      </c>
      <c r="C152" s="8"/>
      <c r="D152" s="8"/>
      <c r="E152" s="8"/>
      <c r="F152" s="8"/>
      <c r="G152" s="8"/>
      <c r="H152" s="8"/>
      <c r="I152" s="81" t="s">
        <v>89</v>
      </c>
      <c r="J152" s="67">
        <v>7.9431945307647703E-2</v>
      </c>
      <c r="K152" s="5" t="s">
        <v>87</v>
      </c>
      <c r="L152" s="3"/>
    </row>
    <row r="153" spans="1:21" ht="20.100000000000001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3"/>
      <c r="U153" s="99"/>
    </row>
    <row r="154" spans="1:21" ht="20.100000000000001" customHeight="1">
      <c r="A154" s="75" t="str">
        <f>$A$124&amp;"."&amp;5</f>
        <v>B.4.5</v>
      </c>
      <c r="B154" s="12" t="s">
        <v>257</v>
      </c>
      <c r="C154" s="12"/>
      <c r="D154" s="12"/>
      <c r="E154" s="12"/>
      <c r="F154" s="12"/>
      <c r="G154" s="12"/>
      <c r="H154" s="12"/>
      <c r="I154" s="12"/>
      <c r="J154" s="12"/>
      <c r="K154" s="12"/>
      <c r="L154" s="3"/>
      <c r="M154" s="70" t="s">
        <v>235</v>
      </c>
      <c r="N154" s="78" t="s">
        <v>228</v>
      </c>
      <c r="O154" s="78">
        <v>1</v>
      </c>
      <c r="P154" s="78" t="s">
        <v>229</v>
      </c>
      <c r="Q154" s="78" t="s">
        <v>230</v>
      </c>
      <c r="R154" s="78" t="s">
        <v>231</v>
      </c>
      <c r="S154" s="78" t="s">
        <v>232</v>
      </c>
      <c r="U154" s="99"/>
    </row>
    <row r="155" spans="1:21" ht="20.100000000000001" customHeight="1">
      <c r="A155" s="9" t="s">
        <v>5</v>
      </c>
      <c r="B155" s="8" t="s">
        <v>223</v>
      </c>
      <c r="C155" s="8"/>
      <c r="D155" s="8"/>
      <c r="E155" s="8"/>
      <c r="F155" s="8"/>
      <c r="G155" s="8"/>
      <c r="H155" s="8"/>
      <c r="I155" s="7" t="s">
        <v>236</v>
      </c>
      <c r="J155" s="62">
        <v>1710.5339527007882</v>
      </c>
      <c r="K155" s="5" t="s">
        <v>224</v>
      </c>
      <c r="L155" s="3"/>
      <c r="M155" s="70" t="s">
        <v>234</v>
      </c>
      <c r="N155" s="102"/>
      <c r="O155" s="102"/>
      <c r="P155" s="102"/>
      <c r="Q155" s="102"/>
      <c r="R155" s="102"/>
      <c r="S155" s="122">
        <f>1/bolt.axial_stiffness</f>
        <v>5.846127745205436E-4</v>
      </c>
      <c r="T155" s="1" t="s">
        <v>226</v>
      </c>
      <c r="U155" s="99"/>
    </row>
    <row r="156" spans="1:21" ht="20.100000000000001" customHeight="1">
      <c r="A156" s="9" t="s">
        <v>4</v>
      </c>
      <c r="B156" s="8" t="s">
        <v>78</v>
      </c>
      <c r="C156" s="8"/>
      <c r="D156" s="8"/>
      <c r="E156" s="8"/>
      <c r="F156" s="8"/>
      <c r="G156" s="8"/>
      <c r="H156" s="8"/>
      <c r="I156" s="7" t="s">
        <v>238</v>
      </c>
      <c r="J156" s="62">
        <v>600.85776552878792</v>
      </c>
      <c r="K156" s="5" t="s">
        <v>79</v>
      </c>
      <c r="L156" s="3"/>
      <c r="M156" s="70" t="s">
        <v>233</v>
      </c>
      <c r="N156" s="120">
        <v>94.734999999999999</v>
      </c>
      <c r="O156" s="120">
        <v>780.97299999999996</v>
      </c>
      <c r="P156" s="120">
        <v>452.98</v>
      </c>
      <c r="Q156" s="120">
        <v>139.38</v>
      </c>
      <c r="R156" s="120">
        <v>75.787999999999997</v>
      </c>
      <c r="S156" s="121">
        <f>1/(bolt.bending_stiffness/1000000)</f>
        <v>1664.2873860837014</v>
      </c>
      <c r="T156" s="1" t="s">
        <v>225</v>
      </c>
      <c r="U156" s="99"/>
    </row>
    <row r="157" spans="1:21" ht="20.100000000000001" customHeight="1">
      <c r="A157" s="9" t="s">
        <v>3</v>
      </c>
      <c r="B157" s="8" t="s">
        <v>285</v>
      </c>
      <c r="C157" s="8"/>
      <c r="D157" s="8"/>
      <c r="E157" s="8"/>
      <c r="F157" s="8"/>
      <c r="G157" s="8"/>
      <c r="H157" s="8"/>
      <c r="I157" s="7" t="s">
        <v>221</v>
      </c>
      <c r="J157" s="62">
        <v>4344.0537979949813</v>
      </c>
      <c r="K157" s="5" t="s">
        <v>220</v>
      </c>
      <c r="L157" s="3"/>
      <c r="N157" s="133">
        <v>94.7</v>
      </c>
      <c r="O157" s="133">
        <v>781</v>
      </c>
      <c r="P157" s="133">
        <v>453</v>
      </c>
      <c r="Q157" s="133">
        <v>139</v>
      </c>
      <c r="R157" s="133">
        <v>75.8</v>
      </c>
      <c r="U157" s="99"/>
    </row>
    <row r="158" spans="1:21" ht="20.100000000000001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3"/>
      <c r="U158" s="99"/>
    </row>
    <row r="159" spans="1:21" ht="20.100000000000001" customHeight="1">
      <c r="A159" s="75" t="str">
        <f>$A$124&amp;"."&amp;6</f>
        <v>B.4.6</v>
      </c>
      <c r="B159" s="12" t="s">
        <v>241</v>
      </c>
      <c r="C159" s="12"/>
      <c r="D159" s="12"/>
      <c r="E159" s="12"/>
      <c r="F159" s="12"/>
      <c r="G159" s="12"/>
      <c r="H159" s="12"/>
      <c r="I159" s="12"/>
      <c r="J159" s="12"/>
      <c r="K159" s="12"/>
      <c r="L159" s="3"/>
      <c r="U159" s="99"/>
    </row>
    <row r="160" spans="1:21" ht="20.100000000000001" customHeight="1">
      <c r="A160" s="9" t="s">
        <v>5</v>
      </c>
      <c r="B160" s="11" t="s">
        <v>239</v>
      </c>
      <c r="C160" s="11"/>
      <c r="D160" s="11"/>
      <c r="E160" s="11"/>
      <c r="F160" s="11"/>
      <c r="G160" s="11"/>
      <c r="H160" s="11"/>
      <c r="I160" s="10" t="s">
        <v>240</v>
      </c>
      <c r="J160" s="92">
        <v>59.999999999999993</v>
      </c>
      <c r="K160" s="93" t="s">
        <v>217</v>
      </c>
      <c r="L160" s="3"/>
      <c r="U160" s="99"/>
    </row>
    <row r="161" spans="1:21" ht="20.100000000000001" customHeight="1">
      <c r="A161" s="9" t="s">
        <v>4</v>
      </c>
      <c r="B161" s="8" t="s">
        <v>72</v>
      </c>
      <c r="C161" s="8"/>
      <c r="D161" s="8"/>
      <c r="E161" s="8"/>
      <c r="F161" s="8"/>
      <c r="G161" s="8"/>
      <c r="H161" s="8"/>
      <c r="I161" s="7" t="s">
        <v>73</v>
      </c>
      <c r="J161" s="64">
        <v>225.55390100553569</v>
      </c>
      <c r="K161" s="5" t="s">
        <v>8</v>
      </c>
      <c r="L161" s="3"/>
      <c r="U161" s="100"/>
    </row>
    <row r="162" spans="1:21" ht="20.100000000000001" customHeight="1">
      <c r="A162" s="9" t="s">
        <v>3</v>
      </c>
      <c r="B162" s="8" t="s">
        <v>299</v>
      </c>
      <c r="C162" s="8"/>
      <c r="D162" s="8"/>
      <c r="E162" s="8"/>
      <c r="F162" s="8"/>
      <c r="G162" s="8"/>
      <c r="H162" s="8"/>
      <c r="I162" s="7" t="s">
        <v>298</v>
      </c>
      <c r="J162" s="64">
        <v>112.77695050276785</v>
      </c>
      <c r="K162" s="5" t="s">
        <v>8</v>
      </c>
      <c r="L162" s="3"/>
      <c r="U162" s="100"/>
    </row>
    <row r="163" spans="1:21" ht="20.100000000000001" customHeight="1">
      <c r="A163" s="9" t="s">
        <v>7</v>
      </c>
      <c r="B163" s="8" t="s">
        <v>300</v>
      </c>
      <c r="C163" s="8"/>
      <c r="D163" s="8"/>
      <c r="E163" s="8"/>
      <c r="F163" s="8"/>
      <c r="G163" s="8"/>
      <c r="H163" s="8"/>
      <c r="I163" s="7" t="s">
        <v>301</v>
      </c>
      <c r="J163" s="151">
        <v>129398710.74285959</v>
      </c>
      <c r="K163" s="5" t="s">
        <v>290</v>
      </c>
      <c r="L163" s="3"/>
      <c r="U163" s="100"/>
    </row>
    <row r="164" spans="1:21" ht="20.100000000000001" customHeight="1">
      <c r="A164" s="9" t="s">
        <v>6</v>
      </c>
      <c r="B164" s="8" t="s">
        <v>227</v>
      </c>
      <c r="C164" s="8"/>
      <c r="D164" s="8"/>
      <c r="E164" s="8"/>
      <c r="F164" s="8"/>
      <c r="G164" s="8"/>
      <c r="H164" s="8"/>
      <c r="I164" s="7" t="s">
        <v>237</v>
      </c>
      <c r="J164" s="92">
        <v>10310.000230734646</v>
      </c>
      <c r="K164" s="5" t="s">
        <v>224</v>
      </c>
      <c r="L164" s="3"/>
      <c r="N164" s="123"/>
      <c r="O164" s="123"/>
      <c r="P164" s="123"/>
      <c r="Q164" s="123"/>
      <c r="R164" s="123"/>
      <c r="S164" s="124"/>
    </row>
    <row r="165" spans="1:21" ht="20.100000000000001" customHeight="1">
      <c r="A165" s="9" t="s">
        <v>32</v>
      </c>
      <c r="B165" s="17" t="s">
        <v>90</v>
      </c>
      <c r="C165" s="17"/>
      <c r="D165" s="17"/>
      <c r="E165" s="17"/>
      <c r="F165" s="17"/>
      <c r="G165" s="17"/>
      <c r="H165" s="17"/>
      <c r="I165" s="83" t="s">
        <v>91</v>
      </c>
      <c r="J165" s="84">
        <v>2.646221089944311E-2</v>
      </c>
      <c r="K165" s="15" t="s">
        <v>87</v>
      </c>
      <c r="L165" s="3"/>
    </row>
    <row r="166" spans="1:21" ht="20.100000000000001" customHeight="1">
      <c r="A166" s="9" t="s">
        <v>35</v>
      </c>
      <c r="B166" s="8" t="s">
        <v>92</v>
      </c>
      <c r="C166" s="8"/>
      <c r="D166" s="8"/>
      <c r="E166" s="8"/>
      <c r="F166" s="8"/>
      <c r="G166" s="8"/>
      <c r="H166" s="8"/>
      <c r="I166" s="7" t="s">
        <v>93</v>
      </c>
      <c r="J166" s="66">
        <v>0.28866914486028528</v>
      </c>
      <c r="K166" s="5" t="s">
        <v>87</v>
      </c>
      <c r="L166" s="3"/>
    </row>
    <row r="167" spans="1:21" ht="20.100000000000001" customHeight="1">
      <c r="A167" s="9"/>
      <c r="B167" s="58"/>
      <c r="C167" s="58"/>
      <c r="D167" s="58"/>
      <c r="E167" s="58"/>
      <c r="F167" s="58"/>
      <c r="G167" s="58"/>
      <c r="H167" s="58"/>
      <c r="I167" s="59"/>
      <c r="J167" s="125"/>
      <c r="K167" s="60"/>
      <c r="L167" s="3"/>
    </row>
    <row r="168" spans="1:21" ht="20.100000000000001" customHeight="1">
      <c r="A168" s="9"/>
      <c r="B168" s="58"/>
      <c r="C168" s="58"/>
      <c r="D168" s="58"/>
      <c r="E168" s="58"/>
      <c r="F168" s="58"/>
      <c r="G168" s="58"/>
      <c r="H168" s="58"/>
      <c r="I168" s="59"/>
      <c r="J168" s="125"/>
      <c r="K168" s="60"/>
      <c r="L168" s="3"/>
    </row>
    <row r="169" spans="1:21" ht="20.100000000000001" customHeight="1">
      <c r="A169" s="9"/>
      <c r="B169" s="58"/>
      <c r="C169" s="58"/>
      <c r="D169" s="58"/>
      <c r="E169" s="58"/>
      <c r="F169" s="58"/>
      <c r="G169" s="58"/>
      <c r="H169" s="58"/>
      <c r="I169" s="59"/>
      <c r="J169" s="125"/>
      <c r="K169" s="60"/>
      <c r="L169" s="3"/>
    </row>
    <row r="170" spans="1:21" ht="20.100000000000001" customHeight="1">
      <c r="A170" s="9"/>
      <c r="B170" s="58"/>
      <c r="C170" s="58"/>
      <c r="D170" s="58"/>
      <c r="E170" s="58"/>
      <c r="F170" s="58"/>
      <c r="G170" s="58"/>
      <c r="H170" s="58"/>
      <c r="I170" s="59"/>
      <c r="J170" s="125"/>
      <c r="K170" s="60"/>
      <c r="L170" s="3"/>
    </row>
    <row r="171" spans="1:21" ht="20.100000000000001" customHeight="1">
      <c r="A171" s="9"/>
      <c r="B171" s="58"/>
      <c r="C171" s="58"/>
      <c r="D171" s="58"/>
      <c r="E171" s="58"/>
      <c r="F171" s="58"/>
      <c r="G171" s="58"/>
      <c r="H171" s="58"/>
      <c r="I171" s="59"/>
      <c r="J171" s="125"/>
      <c r="K171" s="60"/>
      <c r="L171" s="3"/>
    </row>
    <row r="172" spans="1:21" ht="20.100000000000001" customHeight="1">
      <c r="A172" s="9"/>
      <c r="B172" s="58"/>
      <c r="C172" s="58"/>
      <c r="D172" s="58"/>
      <c r="E172" s="58"/>
      <c r="F172" s="58"/>
      <c r="G172" s="58"/>
      <c r="H172" s="58"/>
      <c r="I172" s="59"/>
      <c r="J172" s="125"/>
      <c r="K172" s="60"/>
      <c r="L172" s="3"/>
    </row>
    <row r="173" spans="1:21" ht="20.100000000000001" customHeight="1">
      <c r="A173" s="9"/>
      <c r="B173" s="58"/>
      <c r="C173" s="58"/>
      <c r="D173" s="58"/>
      <c r="E173" s="58"/>
      <c r="F173" s="58"/>
      <c r="G173" s="58"/>
      <c r="H173" s="58"/>
      <c r="I173" s="59"/>
      <c r="J173" s="125"/>
      <c r="K173" s="60"/>
      <c r="L173" s="3"/>
    </row>
    <row r="174" spans="1:21" ht="20.100000000000001" customHeight="1">
      <c r="A174" s="9"/>
      <c r="B174" s="58"/>
      <c r="C174" s="58"/>
      <c r="D174" s="58"/>
      <c r="E174" s="58"/>
      <c r="F174" s="58"/>
      <c r="G174" s="58"/>
      <c r="H174" s="58"/>
      <c r="I174" s="59"/>
      <c r="J174" s="63"/>
      <c r="K174" s="60"/>
      <c r="L174" s="3"/>
    </row>
    <row r="175" spans="1:21" ht="20.100000000000001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3"/>
    </row>
    <row r="176" spans="1:21" ht="20.100000000000001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3"/>
    </row>
    <row r="180" spans="2:4" ht="13.2">
      <c r="B180" s="69"/>
      <c r="C180" s="69"/>
      <c r="D180" s="69"/>
    </row>
  </sheetData>
  <mergeCells count="20">
    <mergeCell ref="B28:K28"/>
    <mergeCell ref="B16:C16"/>
    <mergeCell ref="D16:K16"/>
    <mergeCell ref="B17:C17"/>
    <mergeCell ref="D17:K17"/>
    <mergeCell ref="B18:C18"/>
    <mergeCell ref="D18:K18"/>
    <mergeCell ref="B15:C15"/>
    <mergeCell ref="D15:K15"/>
    <mergeCell ref="A3:K3"/>
    <mergeCell ref="B4:G4"/>
    <mergeCell ref="B5:G5"/>
    <mergeCell ref="B6:G6"/>
    <mergeCell ref="B7:G7"/>
    <mergeCell ref="B8:G8"/>
    <mergeCell ref="B9:G9"/>
    <mergeCell ref="B13:C13"/>
    <mergeCell ref="D13:K13"/>
    <mergeCell ref="B14:C14"/>
    <mergeCell ref="D14:K14"/>
  </mergeCells>
  <conditionalFormatting sqref="K64">
    <cfRule type="cellIs" dxfId="24" priority="3" stopIfTrue="1" operator="between">
      <formula>0</formula>
      <formula>1</formula>
    </cfRule>
  </conditionalFormatting>
  <conditionalFormatting sqref="K94">
    <cfRule type="cellIs" dxfId="23" priority="2" stopIfTrue="1" operator="between">
      <formula>0</formula>
      <formula>1</formula>
    </cfRule>
  </conditionalFormatting>
  <conditionalFormatting sqref="K124">
    <cfRule type="cellIs" dxfId="22" priority="1" stopIfTrue="1" operator="between">
      <formula>0</formula>
      <formula>1</formula>
    </cfRule>
  </conditionalFormatting>
  <printOptions horizontalCentered="1"/>
  <pageMargins left="0.75" right="0.75" top="0.75" bottom="0.5" header="0.3" footer="0.3"/>
  <pageSetup paperSize="9" scale="80" fitToHeight="0" orientation="portrait" r:id="rId1"/>
  <headerFooter>
    <oddHeader>&amp;L&amp;G&amp;C&amp;"Consolas,Bold"&amp;10&amp;K00-047TITLE&amp;R&amp;"Consolas,Bold"&amp;10&amp;K00-048Rev. X</oddHeader>
    <oddFooter>&amp;R&amp;"Consolas,Bold"&amp;10&amp;K00-048Page &amp;P of &amp;N</oddFooter>
  </headerFooter>
  <drawing r:id="rId2"/>
  <legacyDrawingHF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5D3A33-49D9-4D1E-B055-7400878A7BE4}">
  <sheetPr codeName="Sheet3">
    <pageSetUpPr fitToPage="1"/>
  </sheetPr>
  <dimension ref="A1:DJ180"/>
  <sheetViews>
    <sheetView showGridLines="0" zoomScaleNormal="100" workbookViewId="0">
      <pane ySplit="1" topLeftCell="A72" activePane="bottomLeft" state="frozen"/>
      <selection pane="bottomLeft" activeCell="J115" sqref="J115"/>
    </sheetView>
  </sheetViews>
  <sheetFormatPr defaultColWidth="8.6640625" defaultRowHeight="20.100000000000001" customHeight="1" outlineLevelRow="1"/>
  <cols>
    <col min="1" max="11" width="9.6640625" style="2" customWidth="1"/>
    <col min="12" max="12" width="2.6640625" style="1" customWidth="1"/>
    <col min="13" max="13" width="6.6640625" style="1" customWidth="1"/>
    <col min="14" max="19" width="8.6640625" style="1" customWidth="1"/>
    <col min="20" max="16384" width="8.6640625" style="1"/>
  </cols>
  <sheetData>
    <row r="1" spans="1:15" s="52" customFormat="1" ht="20.100000000000001" customHeight="1">
      <c r="A1" s="57"/>
      <c r="B1" s="56" t="s">
        <v>20</v>
      </c>
      <c r="C1" s="56"/>
      <c r="D1" s="56"/>
      <c r="E1" s="56"/>
      <c r="F1" s="56"/>
      <c r="G1" s="56"/>
      <c r="H1" s="55"/>
      <c r="I1" s="55"/>
      <c r="J1" s="54" t="s">
        <v>19</v>
      </c>
      <c r="K1" s="53" t="s">
        <v>18</v>
      </c>
    </row>
    <row r="2" spans="1:15" ht="20.100000000000001" hidden="1" customHeight="1" outlineLevel="1">
      <c r="A2" s="51"/>
      <c r="B2" s="51"/>
      <c r="C2" s="1"/>
      <c r="D2" s="50"/>
      <c r="E2" s="50"/>
      <c r="F2" s="50"/>
      <c r="G2" s="50"/>
      <c r="H2" s="50"/>
      <c r="I2" s="50"/>
      <c r="J2" s="49"/>
      <c r="K2" s="48"/>
    </row>
    <row r="3" spans="1:15" ht="54.75" hidden="1" customHeight="1" outlineLevel="1">
      <c r="A3" s="162" t="s">
        <v>17</v>
      </c>
      <c r="B3" s="163"/>
      <c r="C3" s="163"/>
      <c r="D3" s="163"/>
      <c r="E3" s="163"/>
      <c r="F3" s="163"/>
      <c r="G3" s="163"/>
      <c r="H3" s="163"/>
      <c r="I3" s="163"/>
      <c r="J3" s="163"/>
      <c r="K3" s="163"/>
    </row>
    <row r="4" spans="1:15" s="46" customFormat="1" ht="20.100000000000001" hidden="1" customHeight="1" outlineLevel="1">
      <c r="A4" s="47" t="s">
        <v>16</v>
      </c>
      <c r="B4" s="164" t="s">
        <v>15</v>
      </c>
      <c r="C4" s="164"/>
      <c r="D4" s="164"/>
      <c r="E4" s="164"/>
      <c r="F4" s="164"/>
      <c r="G4" s="164"/>
      <c r="H4" s="47" t="s">
        <v>14</v>
      </c>
      <c r="I4" s="47" t="s">
        <v>13</v>
      </c>
      <c r="J4" s="47" t="s">
        <v>12</v>
      </c>
      <c r="K4" s="47" t="s">
        <v>11</v>
      </c>
    </row>
    <row r="5" spans="1:15" s="41" customFormat="1" ht="20.100000000000001" hidden="1" customHeight="1" outlineLevel="1">
      <c r="A5" s="45"/>
      <c r="B5" s="156"/>
      <c r="C5" s="157"/>
      <c r="D5" s="157"/>
      <c r="E5" s="157"/>
      <c r="F5" s="157"/>
      <c r="G5" s="158"/>
      <c r="H5" s="44"/>
      <c r="I5" s="43"/>
      <c r="J5" s="43"/>
      <c r="K5" s="42"/>
    </row>
    <row r="6" spans="1:15" s="41" customFormat="1" ht="20.100000000000001" hidden="1" customHeight="1" outlineLevel="1">
      <c r="A6" s="45"/>
      <c r="B6" s="156"/>
      <c r="C6" s="157"/>
      <c r="D6" s="157"/>
      <c r="E6" s="157"/>
      <c r="F6" s="157"/>
      <c r="G6" s="158"/>
      <c r="H6" s="44"/>
      <c r="I6" s="43"/>
      <c r="J6" s="43"/>
      <c r="K6" s="42"/>
    </row>
    <row r="7" spans="1:15" s="41" customFormat="1" ht="20.100000000000001" hidden="1" customHeight="1" outlineLevel="1">
      <c r="A7" s="45"/>
      <c r="B7" s="156"/>
      <c r="C7" s="157"/>
      <c r="D7" s="157"/>
      <c r="E7" s="157"/>
      <c r="F7" s="157"/>
      <c r="G7" s="158"/>
      <c r="H7" s="44"/>
      <c r="I7" s="43"/>
      <c r="J7" s="43"/>
      <c r="K7" s="42"/>
    </row>
    <row r="8" spans="1:15" s="41" customFormat="1" ht="20.100000000000001" hidden="1" customHeight="1" outlineLevel="1">
      <c r="A8" s="45"/>
      <c r="B8" s="156"/>
      <c r="C8" s="157"/>
      <c r="D8" s="157"/>
      <c r="E8" s="157"/>
      <c r="F8" s="157"/>
      <c r="G8" s="158"/>
      <c r="H8" s="44"/>
      <c r="I8" s="43"/>
      <c r="J8" s="43"/>
      <c r="K8" s="42"/>
    </row>
    <row r="9" spans="1:15" s="41" customFormat="1" ht="20.100000000000001" hidden="1" customHeight="1" outlineLevel="1">
      <c r="A9" s="45"/>
      <c r="B9" s="156"/>
      <c r="C9" s="157"/>
      <c r="D9" s="157"/>
      <c r="E9" s="157"/>
      <c r="F9" s="157"/>
      <c r="G9" s="158"/>
      <c r="H9" s="44"/>
      <c r="I9" s="43"/>
      <c r="J9" s="43"/>
      <c r="K9" s="42"/>
    </row>
    <row r="10" spans="1:15" ht="20.100000000000001" hidden="1" customHeight="1" outlineLevel="1">
      <c r="B10" s="40"/>
      <c r="J10" s="39"/>
      <c r="K10" s="38"/>
    </row>
    <row r="11" spans="1:15" s="34" customFormat="1" ht="39.9" customHeight="1" collapsed="1" thickBot="1">
      <c r="A11" s="37" t="s">
        <v>295</v>
      </c>
      <c r="B11" s="37" t="s">
        <v>293</v>
      </c>
      <c r="C11" s="37"/>
      <c r="D11" s="37"/>
      <c r="E11" s="37"/>
      <c r="F11" s="37"/>
      <c r="G11" s="37"/>
      <c r="H11" s="37"/>
      <c r="I11" s="37"/>
      <c r="J11" s="37"/>
      <c r="K11" s="36"/>
      <c r="L11" s="35"/>
      <c r="M11" s="25"/>
      <c r="N11" s="25"/>
      <c r="O11" s="25"/>
    </row>
    <row r="12" spans="1:15" ht="20.100000000000001" customHeight="1" thickTop="1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3"/>
    </row>
    <row r="13" spans="1:15" s="85" customFormat="1" ht="20.100000000000001" customHeight="1" outlineLevel="1">
      <c r="A13" s="87"/>
      <c r="B13" s="159" t="s">
        <v>102</v>
      </c>
      <c r="C13" s="159"/>
      <c r="D13" s="161" t="str">
        <f>Gap30deg!D13</f>
        <v>SP2200052</v>
      </c>
      <c r="E13" s="161"/>
      <c r="F13" s="161"/>
      <c r="G13" s="161"/>
      <c r="H13" s="161"/>
      <c r="I13" s="161"/>
      <c r="J13" s="161"/>
      <c r="K13" s="161"/>
      <c r="L13" s="86"/>
    </row>
    <row r="14" spans="1:15" s="85" customFormat="1" ht="20.100000000000001" customHeight="1" outlineLevel="1">
      <c r="A14" s="87"/>
      <c r="B14" s="159" t="s">
        <v>101</v>
      </c>
      <c r="C14" s="159"/>
      <c r="D14" s="161" t="str">
        <f>Gap30deg!D14</f>
        <v>Stichting GROW</v>
      </c>
      <c r="E14" s="161"/>
      <c r="F14" s="161"/>
      <c r="G14" s="161"/>
      <c r="H14" s="161"/>
      <c r="I14" s="161"/>
      <c r="J14" s="161"/>
      <c r="K14" s="161"/>
      <c r="L14" s="86"/>
    </row>
    <row r="15" spans="1:15" s="85" customFormat="1" ht="20.100000000000001" customHeight="1" outlineLevel="1">
      <c r="A15" s="87"/>
      <c r="B15" s="159" t="s">
        <v>100</v>
      </c>
      <c r="C15" s="159"/>
      <c r="D15" s="161" t="str">
        <f>Gap30deg!D15</f>
        <v>Bolt and Beautiful</v>
      </c>
      <c r="E15" s="161"/>
      <c r="F15" s="161"/>
      <c r="G15" s="161"/>
      <c r="H15" s="161"/>
      <c r="I15" s="161"/>
      <c r="J15" s="161"/>
      <c r="K15" s="161"/>
      <c r="L15" s="86"/>
    </row>
    <row r="16" spans="1:15" s="85" customFormat="1" ht="20.100000000000001" customHeight="1" outlineLevel="1">
      <c r="A16" s="87"/>
      <c r="B16" s="159" t="s">
        <v>99</v>
      </c>
      <c r="C16" s="159"/>
      <c r="D16" s="161" t="str">
        <f>Title</f>
        <v>Flange Segment Analytical Model for 90° gap size</v>
      </c>
      <c r="E16" s="161"/>
      <c r="F16" s="161"/>
      <c r="G16" s="161"/>
      <c r="H16" s="161"/>
      <c r="I16" s="161"/>
      <c r="J16" s="161"/>
      <c r="K16" s="161"/>
      <c r="L16" s="86"/>
      <c r="M16" s="88"/>
    </row>
    <row r="17" spans="1:22" s="85" customFormat="1" ht="20.100000000000001" customHeight="1" outlineLevel="1">
      <c r="A17" s="87"/>
      <c r="B17" s="159" t="s">
        <v>98</v>
      </c>
      <c r="C17" s="159"/>
      <c r="D17" s="161" t="str">
        <f>Gap30deg!D17</f>
        <v>0.10</v>
      </c>
      <c r="E17" s="161"/>
      <c r="F17" s="161"/>
      <c r="G17" s="161"/>
      <c r="H17" s="161"/>
      <c r="I17" s="161"/>
      <c r="J17" s="161"/>
      <c r="K17" s="161"/>
      <c r="L17" s="86"/>
    </row>
    <row r="18" spans="1:22" s="85" customFormat="1" ht="20.100000000000001" customHeight="1" outlineLevel="1">
      <c r="A18" s="87"/>
      <c r="B18" s="159" t="s">
        <v>97</v>
      </c>
      <c r="C18" s="159"/>
      <c r="D18" s="160">
        <f>Gap30deg!D18</f>
        <v>45432</v>
      </c>
      <c r="E18" s="160"/>
      <c r="F18" s="160"/>
      <c r="G18" s="160"/>
      <c r="H18" s="160"/>
      <c r="I18" s="160"/>
      <c r="J18" s="160"/>
      <c r="K18" s="160"/>
      <c r="L18" s="86"/>
    </row>
    <row r="19" spans="1:22" s="85" customFormat="1" ht="20.100000000000001" customHeight="1" outlineLevel="1">
      <c r="A19" s="87"/>
      <c r="B19" s="87"/>
      <c r="C19" s="87"/>
      <c r="D19" s="87"/>
      <c r="E19" s="87"/>
      <c r="F19" s="87"/>
      <c r="G19" s="87"/>
      <c r="H19" s="87"/>
      <c r="I19" s="87"/>
      <c r="J19" s="87"/>
      <c r="K19" s="87"/>
      <c r="L19" s="86"/>
    </row>
    <row r="20" spans="1:22" s="85" customFormat="1" ht="20.100000000000001" customHeight="1">
      <c r="A20" s="87"/>
      <c r="B20" s="87"/>
      <c r="C20" s="87"/>
      <c r="D20" s="87"/>
      <c r="E20" s="87"/>
      <c r="F20" s="87"/>
      <c r="G20" s="87"/>
      <c r="H20" s="87"/>
      <c r="I20" s="87"/>
      <c r="J20" s="87"/>
      <c r="K20" s="87"/>
      <c r="L20" s="86"/>
    </row>
    <row r="21" spans="1:22" ht="20.100000000000001" customHeight="1" thickBot="1">
      <c r="A21" s="14" t="str">
        <f>$A$11&amp;"."&amp;1</f>
        <v>C.1</v>
      </c>
      <c r="B21" s="14" t="s">
        <v>21</v>
      </c>
      <c r="C21" s="14"/>
      <c r="D21" s="14"/>
      <c r="E21" s="14"/>
      <c r="F21" s="14"/>
      <c r="G21" s="14"/>
      <c r="H21" s="14"/>
      <c r="I21" s="14"/>
      <c r="J21" s="14"/>
      <c r="K21" s="14"/>
      <c r="L21" s="3"/>
    </row>
    <row r="22" spans="1:22" ht="20.100000000000001" customHeight="1" outlineLevel="1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3"/>
    </row>
    <row r="23" spans="1:22" s="18" customFormat="1" ht="20.100000000000001" customHeight="1" outlineLevel="1">
      <c r="A23" s="21"/>
      <c r="B23" s="28"/>
      <c r="C23" s="27"/>
      <c r="D23" s="27"/>
      <c r="E23" s="27"/>
      <c r="F23" s="27"/>
      <c r="G23" s="27"/>
      <c r="H23" s="27"/>
      <c r="I23" s="27"/>
      <c r="J23" s="27"/>
      <c r="K23" s="26"/>
      <c r="L23" s="20"/>
      <c r="M23" s="25" t="s">
        <v>10</v>
      </c>
      <c r="N23" s="25"/>
      <c r="O23" s="25"/>
      <c r="P23" s="25"/>
      <c r="Q23" s="25"/>
      <c r="R23" s="25"/>
      <c r="S23" s="25"/>
      <c r="T23" s="25"/>
      <c r="U23" s="25"/>
      <c r="V23" s="25"/>
    </row>
    <row r="24" spans="1:22" s="18" customFormat="1" ht="20.100000000000001" customHeight="1" outlineLevel="1">
      <c r="A24" s="21"/>
      <c r="B24" s="24"/>
      <c r="C24" s="23"/>
      <c r="D24" s="23"/>
      <c r="E24" s="23"/>
      <c r="F24" s="23"/>
      <c r="G24" s="23"/>
      <c r="H24" s="23"/>
      <c r="I24" s="23"/>
      <c r="J24" s="23"/>
      <c r="K24" s="22"/>
      <c r="L24" s="20"/>
      <c r="M24" s="19"/>
      <c r="N24" s="19"/>
      <c r="O24" s="19"/>
      <c r="P24" s="19"/>
      <c r="Q24" s="19"/>
      <c r="R24" s="19"/>
      <c r="S24" s="19"/>
      <c r="T24" s="19"/>
      <c r="U24" s="19"/>
      <c r="V24" s="19"/>
    </row>
    <row r="25" spans="1:22" s="18" customFormat="1" ht="20.100000000000001" customHeight="1" outlineLevel="1">
      <c r="A25" s="21"/>
      <c r="B25" s="24"/>
      <c r="C25" s="23"/>
      <c r="D25" s="23"/>
      <c r="E25" s="23"/>
      <c r="F25" s="23"/>
      <c r="G25" s="23"/>
      <c r="H25" s="23"/>
      <c r="I25" s="23"/>
      <c r="J25" s="23"/>
      <c r="K25" s="22"/>
      <c r="L25" s="20"/>
      <c r="M25" s="19"/>
      <c r="N25" s="19"/>
      <c r="O25" s="19"/>
      <c r="P25" s="19"/>
      <c r="Q25" s="19"/>
      <c r="R25" s="19"/>
      <c r="S25" s="19"/>
      <c r="T25" s="19"/>
      <c r="U25" s="19"/>
      <c r="V25" s="19"/>
    </row>
    <row r="26" spans="1:22" s="18" customFormat="1" ht="20.100000000000001" customHeight="1" outlineLevel="1">
      <c r="A26" s="21"/>
      <c r="B26" s="24"/>
      <c r="C26" s="23"/>
      <c r="D26" s="23"/>
      <c r="E26" s="23"/>
      <c r="F26" s="23"/>
      <c r="G26" s="23"/>
      <c r="H26" s="23"/>
      <c r="I26" s="23"/>
      <c r="J26" s="23"/>
      <c r="K26" s="22"/>
      <c r="L26" s="20"/>
      <c r="M26" s="19"/>
      <c r="N26" s="19"/>
      <c r="O26" s="19"/>
      <c r="P26" s="19"/>
      <c r="Q26" s="19"/>
      <c r="R26" s="19"/>
      <c r="S26" s="19"/>
      <c r="T26" s="19"/>
      <c r="U26" s="19"/>
      <c r="V26" s="19"/>
    </row>
    <row r="27" spans="1:22" s="18" customFormat="1" ht="20.100000000000001" customHeight="1" outlineLevel="1">
      <c r="A27" s="21"/>
      <c r="B27" s="24"/>
      <c r="C27" s="23"/>
      <c r="D27" s="23"/>
      <c r="E27" s="23"/>
      <c r="F27" s="23"/>
      <c r="G27" s="23"/>
      <c r="H27" s="23"/>
      <c r="I27" s="23"/>
      <c r="J27" s="23"/>
      <c r="K27" s="22"/>
      <c r="L27" s="20"/>
      <c r="M27" s="19"/>
      <c r="N27" s="19"/>
      <c r="O27" s="19"/>
      <c r="P27" s="19"/>
      <c r="Q27" s="19"/>
      <c r="R27" s="19"/>
      <c r="S27" s="19"/>
      <c r="T27" s="19"/>
      <c r="U27" s="19"/>
      <c r="V27" s="19"/>
    </row>
    <row r="28" spans="1:22" s="18" customFormat="1" ht="20.100000000000001" customHeight="1" outlineLevel="1">
      <c r="A28" s="21"/>
      <c r="B28" s="166"/>
      <c r="C28" s="167"/>
      <c r="D28" s="167"/>
      <c r="E28" s="167"/>
      <c r="F28" s="167"/>
      <c r="G28" s="167"/>
      <c r="H28" s="167"/>
      <c r="I28" s="167"/>
      <c r="J28" s="167"/>
      <c r="K28" s="168"/>
      <c r="L28" s="20"/>
      <c r="M28" s="19"/>
      <c r="N28" s="19"/>
      <c r="O28" s="19"/>
      <c r="P28" s="19"/>
      <c r="Q28" s="19"/>
      <c r="R28" s="19"/>
      <c r="S28" s="19"/>
      <c r="T28" s="19"/>
      <c r="U28" s="19"/>
      <c r="V28" s="19"/>
    </row>
    <row r="29" spans="1:22" s="18" customFormat="1" ht="20.100000000000001" customHeight="1" outlineLevel="1">
      <c r="A29" s="21"/>
      <c r="B29" s="24"/>
      <c r="C29" s="23"/>
      <c r="D29" s="23"/>
      <c r="E29" s="23"/>
      <c r="F29" s="23"/>
      <c r="G29" s="23"/>
      <c r="H29" s="23"/>
      <c r="I29" s="23"/>
      <c r="J29" s="23"/>
      <c r="K29" s="22"/>
      <c r="L29" s="20"/>
      <c r="M29" s="19"/>
      <c r="N29" s="19"/>
      <c r="O29" s="19"/>
      <c r="P29" s="19"/>
      <c r="Q29" s="19"/>
      <c r="R29" s="19"/>
      <c r="S29" s="19"/>
      <c r="T29" s="19"/>
      <c r="U29" s="19"/>
      <c r="V29" s="19"/>
    </row>
    <row r="30" spans="1:22" s="18" customFormat="1" ht="20.100000000000001" customHeight="1" outlineLevel="1">
      <c r="A30" s="21"/>
      <c r="B30" s="24"/>
      <c r="C30" s="23"/>
      <c r="D30" s="23"/>
      <c r="E30" s="23"/>
      <c r="F30" s="23"/>
      <c r="G30" s="23"/>
      <c r="H30" s="23"/>
      <c r="I30" s="23"/>
      <c r="J30" s="23"/>
      <c r="K30" s="22"/>
      <c r="L30" s="20"/>
      <c r="M30" s="19"/>
      <c r="N30" s="19"/>
      <c r="O30" s="19"/>
      <c r="P30" s="19"/>
      <c r="Q30" s="19"/>
      <c r="R30" s="19"/>
      <c r="S30" s="19"/>
      <c r="T30" s="19"/>
      <c r="U30" s="19"/>
      <c r="V30" s="19"/>
    </row>
    <row r="31" spans="1:22" s="18" customFormat="1" ht="20.100000000000001" customHeight="1" outlineLevel="1">
      <c r="A31" s="21"/>
      <c r="B31" s="24"/>
      <c r="C31" s="23"/>
      <c r="D31" s="23"/>
      <c r="E31" s="23"/>
      <c r="F31" s="23"/>
      <c r="G31" s="23"/>
      <c r="H31" s="23"/>
      <c r="I31" s="23"/>
      <c r="J31" s="23"/>
      <c r="K31" s="22"/>
      <c r="L31" s="20"/>
      <c r="M31" s="19"/>
      <c r="N31" s="19"/>
      <c r="O31" s="19"/>
      <c r="P31" s="19"/>
      <c r="Q31" s="19"/>
      <c r="R31" s="19"/>
      <c r="S31" s="19"/>
      <c r="T31" s="19"/>
      <c r="U31" s="19"/>
      <c r="V31" s="19"/>
    </row>
    <row r="32" spans="1:22" s="18" customFormat="1" ht="20.100000000000001" customHeight="1" outlineLevel="1">
      <c r="A32" s="21"/>
      <c r="B32" s="24"/>
      <c r="C32" s="23"/>
      <c r="D32" s="23"/>
      <c r="E32" s="23"/>
      <c r="F32" s="23"/>
      <c r="G32" s="23"/>
      <c r="H32" s="23"/>
      <c r="I32" s="23"/>
      <c r="J32" s="23"/>
      <c r="K32" s="22"/>
      <c r="L32" s="20"/>
      <c r="M32" s="19"/>
      <c r="N32" s="19"/>
      <c r="O32" s="19"/>
      <c r="P32" s="19"/>
      <c r="Q32" s="19"/>
      <c r="R32" s="19"/>
      <c r="S32" s="19"/>
      <c r="T32" s="19"/>
      <c r="U32" s="19"/>
      <c r="V32" s="19"/>
    </row>
    <row r="33" spans="1:22" s="18" customFormat="1" ht="20.100000000000001" customHeight="1" outlineLevel="1">
      <c r="A33" s="21"/>
      <c r="B33" s="89"/>
      <c r="C33" s="90"/>
      <c r="D33" s="90"/>
      <c r="E33" s="90"/>
      <c r="F33" s="90"/>
      <c r="G33" s="90"/>
      <c r="H33" s="90"/>
      <c r="I33" s="90"/>
      <c r="J33" s="90"/>
      <c r="K33" s="91"/>
      <c r="L33" s="20"/>
      <c r="M33" s="19"/>
      <c r="N33" s="19"/>
      <c r="O33" s="19"/>
      <c r="P33" s="19"/>
      <c r="Q33" s="19"/>
      <c r="R33" s="19"/>
      <c r="S33" s="19"/>
      <c r="T33" s="19"/>
      <c r="U33" s="19"/>
      <c r="V33" s="19"/>
    </row>
    <row r="34" spans="1:22" s="18" customFormat="1" ht="20.100000000000001" customHeight="1" outlineLevel="1">
      <c r="A34" s="21"/>
      <c r="B34" s="23"/>
      <c r="C34" s="23"/>
      <c r="D34" s="23"/>
      <c r="E34" s="23"/>
      <c r="F34" s="23"/>
      <c r="G34" s="23"/>
      <c r="H34" s="23"/>
      <c r="I34" s="23"/>
      <c r="J34" s="23"/>
      <c r="K34" s="23"/>
      <c r="L34" s="20"/>
      <c r="M34" s="19"/>
      <c r="N34" s="19"/>
      <c r="O34" s="19"/>
      <c r="P34" s="19"/>
      <c r="Q34" s="19"/>
      <c r="R34" s="19"/>
      <c r="S34" s="19"/>
      <c r="T34" s="19"/>
      <c r="U34" s="19"/>
      <c r="V34" s="19"/>
    </row>
    <row r="35" spans="1:22" s="18" customFormat="1" ht="20.100000000000001" customHeight="1" outlineLevel="1">
      <c r="A35" s="95" t="str">
        <f>$A$21&amp;"."&amp;1</f>
        <v>C.1.1</v>
      </c>
      <c r="B35" s="12" t="s">
        <v>106</v>
      </c>
      <c r="C35" s="94"/>
      <c r="D35" s="94"/>
      <c r="E35" s="94"/>
      <c r="F35" s="94"/>
      <c r="G35" s="94"/>
      <c r="H35" s="94"/>
      <c r="I35" s="94"/>
      <c r="J35" s="94"/>
      <c r="K35" s="94"/>
      <c r="L35" s="20"/>
      <c r="M35" s="19"/>
      <c r="N35" s="19"/>
      <c r="O35" s="19"/>
      <c r="P35" s="19"/>
      <c r="Q35" s="19"/>
      <c r="R35" s="19"/>
      <c r="S35" s="19"/>
      <c r="T35" s="19"/>
      <c r="U35" s="19"/>
      <c r="V35" s="19"/>
    </row>
    <row r="36" spans="1:22" ht="20.100000000000001" customHeight="1" outlineLevel="1">
      <c r="A36" s="9" t="s">
        <v>5</v>
      </c>
      <c r="B36" s="11" t="s">
        <v>22</v>
      </c>
      <c r="C36" s="11"/>
      <c r="D36" s="11"/>
      <c r="E36" s="11"/>
      <c r="F36" s="11"/>
      <c r="G36" s="11"/>
      <c r="H36" s="11"/>
      <c r="I36" s="10" t="s">
        <v>23</v>
      </c>
      <c r="J36" s="92">
        <v>232.5</v>
      </c>
      <c r="K36" s="93" t="s">
        <v>8</v>
      </c>
      <c r="L36" s="3"/>
    </row>
    <row r="37" spans="1:22" ht="20.100000000000001" customHeight="1" outlineLevel="1">
      <c r="A37" s="9" t="s">
        <v>4</v>
      </c>
      <c r="B37" s="8" t="s">
        <v>24</v>
      </c>
      <c r="C37" s="8"/>
      <c r="D37" s="8"/>
      <c r="E37" s="8"/>
      <c r="F37" s="8"/>
      <c r="G37" s="8"/>
      <c r="H37" s="8"/>
      <c r="I37" s="7" t="s">
        <v>25</v>
      </c>
      <c r="J37" s="62">
        <v>166.5</v>
      </c>
      <c r="K37" s="5" t="s">
        <v>8</v>
      </c>
      <c r="L37" s="3"/>
    </row>
    <row r="38" spans="1:22" ht="20.100000000000001" customHeight="1" outlineLevel="1">
      <c r="A38" s="9" t="s">
        <v>4</v>
      </c>
      <c r="B38" s="8" t="s">
        <v>26</v>
      </c>
      <c r="C38" s="8"/>
      <c r="D38" s="8"/>
      <c r="E38" s="8"/>
      <c r="F38" s="8"/>
      <c r="G38" s="8"/>
      <c r="H38" s="8"/>
      <c r="I38" s="7" t="s">
        <v>27</v>
      </c>
      <c r="J38" s="62">
        <v>72</v>
      </c>
      <c r="K38" s="5" t="s">
        <v>8</v>
      </c>
      <c r="L38" s="3"/>
    </row>
    <row r="39" spans="1:22" ht="20.100000000000001" customHeight="1" outlineLevel="1">
      <c r="A39" s="9" t="s">
        <v>3</v>
      </c>
      <c r="B39" s="8" t="s">
        <v>28</v>
      </c>
      <c r="C39" s="8"/>
      <c r="D39" s="8"/>
      <c r="E39" s="8"/>
      <c r="F39" s="8"/>
      <c r="G39" s="8"/>
      <c r="H39" s="8"/>
      <c r="I39" s="7" t="s">
        <v>29</v>
      </c>
      <c r="J39" s="62">
        <v>200</v>
      </c>
      <c r="K39" s="5" t="s">
        <v>8</v>
      </c>
      <c r="L39" s="3"/>
    </row>
    <row r="40" spans="1:22" ht="20.100000000000001" customHeight="1" outlineLevel="1">
      <c r="A40" s="9" t="s">
        <v>7</v>
      </c>
      <c r="B40" s="8" t="s">
        <v>302</v>
      </c>
      <c r="C40" s="8"/>
      <c r="D40" s="8"/>
      <c r="E40" s="8"/>
      <c r="F40" s="8"/>
      <c r="G40" s="8"/>
      <c r="H40" s="8"/>
      <c r="I40" s="7" t="s">
        <v>303</v>
      </c>
      <c r="J40" s="62">
        <v>3</v>
      </c>
      <c r="K40" s="5" t="s">
        <v>217</v>
      </c>
      <c r="L40" s="3"/>
    </row>
    <row r="41" spans="1:22" ht="20.100000000000001" customHeight="1" outlineLevel="1">
      <c r="A41" s="9" t="s">
        <v>6</v>
      </c>
      <c r="B41" s="8" t="s">
        <v>297</v>
      </c>
      <c r="C41" s="8"/>
      <c r="D41" s="8"/>
      <c r="E41" s="8"/>
      <c r="F41" s="8"/>
      <c r="G41" s="8"/>
      <c r="H41" s="8"/>
      <c r="I41" s="7" t="s">
        <v>31</v>
      </c>
      <c r="J41" s="62">
        <v>3750</v>
      </c>
      <c r="K41" s="5" t="s">
        <v>8</v>
      </c>
      <c r="L41" s="3"/>
    </row>
    <row r="42" spans="1:22" ht="20.100000000000001" customHeight="1" outlineLevel="1">
      <c r="A42" s="9" t="s">
        <v>32</v>
      </c>
      <c r="B42" s="17" t="s">
        <v>326</v>
      </c>
      <c r="C42" s="17"/>
      <c r="D42" s="17"/>
      <c r="E42" s="17"/>
      <c r="F42" s="17"/>
      <c r="G42" s="17"/>
      <c r="H42" s="17"/>
      <c r="I42" s="16" t="s">
        <v>33</v>
      </c>
      <c r="J42" s="64">
        <v>-123.29166666666667</v>
      </c>
      <c r="K42" s="15" t="s">
        <v>9</v>
      </c>
      <c r="L42" s="3"/>
    </row>
    <row r="43" spans="1:22" ht="20.100000000000001" customHeight="1" outlineLevel="1">
      <c r="A43" s="9" t="s">
        <v>35</v>
      </c>
      <c r="B43" s="17" t="s">
        <v>52</v>
      </c>
      <c r="C43" s="17"/>
      <c r="D43" s="17"/>
      <c r="E43" s="17"/>
      <c r="F43" s="17"/>
      <c r="G43" s="17"/>
      <c r="H43" s="17"/>
      <c r="I43" s="16" t="s">
        <v>54</v>
      </c>
      <c r="J43" s="64">
        <v>210</v>
      </c>
      <c r="K43" s="15" t="s">
        <v>56</v>
      </c>
      <c r="L43" s="3"/>
    </row>
    <row r="44" spans="1:22" ht="20.100000000000001" customHeight="1" outlineLevel="1">
      <c r="A44" s="9" t="s">
        <v>36</v>
      </c>
      <c r="B44" s="8" t="s">
        <v>53</v>
      </c>
      <c r="C44" s="8"/>
      <c r="D44" s="8"/>
      <c r="E44" s="8"/>
      <c r="F44" s="8"/>
      <c r="G44" s="8"/>
      <c r="H44" s="8"/>
      <c r="I44" s="7" t="s">
        <v>55</v>
      </c>
      <c r="J44" s="62">
        <v>80.77</v>
      </c>
      <c r="K44" s="5" t="s">
        <v>56</v>
      </c>
      <c r="L44" s="3"/>
    </row>
    <row r="45" spans="1:22" ht="20.100000000000001" customHeight="1" outlineLevel="1">
      <c r="A45" s="9"/>
      <c r="B45" s="58"/>
      <c r="C45" s="58"/>
      <c r="D45" s="58"/>
      <c r="E45" s="58"/>
      <c r="F45" s="58"/>
      <c r="G45" s="58"/>
      <c r="H45" s="58"/>
      <c r="I45" s="59"/>
      <c r="J45" s="96"/>
      <c r="K45" s="60"/>
      <c r="L45" s="3"/>
    </row>
    <row r="46" spans="1:22" ht="20.100000000000001" customHeight="1" outlineLevel="1">
      <c r="A46" s="95" t="str">
        <f>$A$21&amp;"."&amp;2</f>
        <v>C.1.2</v>
      </c>
      <c r="B46" s="12" t="s">
        <v>107</v>
      </c>
      <c r="C46" s="94"/>
      <c r="D46" s="94"/>
      <c r="E46" s="94"/>
      <c r="F46" s="94"/>
      <c r="G46" s="94"/>
      <c r="H46" s="94"/>
      <c r="I46" s="94"/>
      <c r="J46" s="94"/>
      <c r="K46" s="94"/>
      <c r="L46" s="3"/>
    </row>
    <row r="47" spans="1:22" ht="20.100000000000001" customHeight="1" outlineLevel="1">
      <c r="A47" s="9" t="s">
        <v>5</v>
      </c>
      <c r="B47" s="8" t="s">
        <v>109</v>
      </c>
      <c r="C47" s="8"/>
      <c r="D47" s="8"/>
      <c r="E47" s="8"/>
      <c r="F47" s="8"/>
      <c r="G47" s="8"/>
      <c r="H47" s="8"/>
      <c r="I47" s="7"/>
      <c r="J47" s="61" t="s">
        <v>42</v>
      </c>
      <c r="K47" s="5"/>
      <c r="L47" s="3"/>
    </row>
    <row r="48" spans="1:22" ht="20.100000000000001" customHeight="1" outlineLevel="1">
      <c r="A48" s="9" t="s">
        <v>4</v>
      </c>
      <c r="B48" s="8" t="s">
        <v>109</v>
      </c>
      <c r="C48" s="8"/>
      <c r="D48" s="8"/>
      <c r="E48" s="8"/>
      <c r="F48" s="8"/>
      <c r="G48" s="8"/>
      <c r="H48" s="8"/>
      <c r="I48" s="7" t="s">
        <v>112</v>
      </c>
      <c r="J48" s="61">
        <v>80</v>
      </c>
      <c r="K48" s="5" t="s">
        <v>8</v>
      </c>
      <c r="L48" s="3"/>
    </row>
    <row r="49" spans="1:12" ht="20.100000000000001" customHeight="1" outlineLevel="1">
      <c r="A49" s="9" t="s">
        <v>3</v>
      </c>
      <c r="B49" s="8" t="s">
        <v>110</v>
      </c>
      <c r="C49" s="8"/>
      <c r="D49" s="8"/>
      <c r="E49" s="8"/>
      <c r="F49" s="8"/>
      <c r="G49" s="8"/>
      <c r="H49" s="8"/>
      <c r="I49" s="7" t="s">
        <v>113</v>
      </c>
      <c r="J49" s="61">
        <v>76.099999999999994</v>
      </c>
      <c r="K49" s="5" t="s">
        <v>8</v>
      </c>
      <c r="L49" s="3"/>
    </row>
    <row r="50" spans="1:12" ht="20.100000000000001" customHeight="1" outlineLevel="1">
      <c r="A50" s="9" t="s">
        <v>7</v>
      </c>
      <c r="B50" s="8" t="s">
        <v>111</v>
      </c>
      <c r="C50" s="8"/>
      <c r="D50" s="8"/>
      <c r="E50" s="8"/>
      <c r="F50" s="8"/>
      <c r="G50" s="8"/>
      <c r="H50" s="8"/>
      <c r="I50" s="7" t="s">
        <v>114</v>
      </c>
      <c r="J50" s="61">
        <v>0.27</v>
      </c>
      <c r="K50" s="5" t="s">
        <v>8</v>
      </c>
      <c r="L50" s="3"/>
    </row>
    <row r="51" spans="1:12" ht="20.100000000000001" customHeight="1" outlineLevel="1">
      <c r="A51" s="9" t="s">
        <v>6</v>
      </c>
      <c r="B51" s="8" t="s">
        <v>39</v>
      </c>
      <c r="C51" s="8"/>
      <c r="D51" s="8"/>
      <c r="E51" s="8"/>
      <c r="F51" s="8"/>
      <c r="G51" s="8"/>
      <c r="H51" s="8"/>
      <c r="I51" s="7" t="s">
        <v>41</v>
      </c>
      <c r="J51" s="61">
        <v>6</v>
      </c>
      <c r="K51" s="5" t="s">
        <v>8</v>
      </c>
      <c r="L51" s="3"/>
    </row>
    <row r="52" spans="1:12" ht="20.100000000000001" customHeight="1" outlineLevel="1">
      <c r="A52" s="9" t="s">
        <v>32</v>
      </c>
      <c r="B52" s="8" t="s">
        <v>115</v>
      </c>
      <c r="C52" s="8"/>
      <c r="D52" s="8"/>
      <c r="E52" s="8"/>
      <c r="F52" s="8"/>
      <c r="G52" s="8"/>
      <c r="H52" s="8"/>
      <c r="I52" s="7" t="s">
        <v>117</v>
      </c>
      <c r="J52" s="61">
        <v>900</v>
      </c>
      <c r="K52" s="15" t="s">
        <v>96</v>
      </c>
      <c r="L52" s="3"/>
    </row>
    <row r="53" spans="1:12" ht="20.100000000000001" customHeight="1" outlineLevel="1">
      <c r="A53" s="9" t="s">
        <v>35</v>
      </c>
      <c r="B53" s="17" t="s">
        <v>116</v>
      </c>
      <c r="C53" s="17"/>
      <c r="D53" s="17"/>
      <c r="E53" s="17"/>
      <c r="F53" s="17"/>
      <c r="G53" s="17"/>
      <c r="H53" s="17"/>
      <c r="I53" s="16" t="s">
        <v>118</v>
      </c>
      <c r="J53" s="65">
        <v>1000</v>
      </c>
      <c r="K53" s="15" t="s">
        <v>96</v>
      </c>
      <c r="L53" s="3"/>
    </row>
    <row r="54" spans="1:12" ht="20.100000000000001" customHeight="1" outlineLevel="1">
      <c r="A54" s="9" t="s">
        <v>36</v>
      </c>
      <c r="B54" s="17" t="s">
        <v>119</v>
      </c>
      <c r="C54" s="17"/>
      <c r="D54" s="17"/>
      <c r="E54" s="17"/>
      <c r="F54" s="17"/>
      <c r="G54" s="17"/>
      <c r="H54" s="17"/>
      <c r="I54" s="16" t="s">
        <v>54</v>
      </c>
      <c r="J54" s="65">
        <v>210</v>
      </c>
      <c r="K54" s="15" t="s">
        <v>56</v>
      </c>
      <c r="L54" s="3"/>
    </row>
    <row r="55" spans="1:12" ht="20.100000000000001" customHeight="1" outlineLevel="1">
      <c r="A55" s="9" t="s">
        <v>37</v>
      </c>
      <c r="B55" s="17" t="s">
        <v>34</v>
      </c>
      <c r="C55" s="17"/>
      <c r="D55" s="17"/>
      <c r="E55" s="17"/>
      <c r="F55" s="17"/>
      <c r="G55" s="17"/>
      <c r="H55" s="17"/>
      <c r="I55" s="16" t="s">
        <v>38</v>
      </c>
      <c r="J55" s="65">
        <v>2876</v>
      </c>
      <c r="K55" s="15" t="s">
        <v>9</v>
      </c>
      <c r="L55" s="3"/>
    </row>
    <row r="56" spans="1:12" ht="20.100000000000001" customHeight="1" outlineLevel="1">
      <c r="A56" s="9" t="s">
        <v>40</v>
      </c>
      <c r="B56" s="8" t="s">
        <v>43</v>
      </c>
      <c r="C56" s="8"/>
      <c r="D56" s="8"/>
      <c r="E56" s="8"/>
      <c r="F56" s="8"/>
      <c r="G56" s="8"/>
      <c r="H56" s="8"/>
      <c r="I56" s="7" t="s">
        <v>49</v>
      </c>
      <c r="J56" s="62">
        <v>86</v>
      </c>
      <c r="K56" s="5" t="s">
        <v>8</v>
      </c>
      <c r="L56" s="3"/>
    </row>
    <row r="57" spans="1:12" ht="20.100000000000001" customHeight="1" outlineLevel="1">
      <c r="A57" s="9" t="s">
        <v>51</v>
      </c>
      <c r="B57" s="8" t="s">
        <v>44</v>
      </c>
      <c r="C57" s="8"/>
      <c r="D57" s="8"/>
      <c r="E57" s="8"/>
      <c r="F57" s="8"/>
      <c r="G57" s="8"/>
      <c r="H57" s="8"/>
      <c r="I57" s="7" t="s">
        <v>50</v>
      </c>
      <c r="J57" s="62">
        <v>140</v>
      </c>
      <c r="K57" s="5" t="s">
        <v>8</v>
      </c>
      <c r="L57" s="3"/>
    </row>
    <row r="58" spans="1:12" ht="20.100000000000001" customHeight="1" outlineLevel="1">
      <c r="A58" s="9"/>
      <c r="B58" s="58"/>
      <c r="C58" s="58"/>
      <c r="D58" s="58"/>
      <c r="E58" s="58"/>
      <c r="F58" s="58"/>
      <c r="G58" s="58"/>
      <c r="H58" s="58"/>
      <c r="I58" s="59"/>
      <c r="J58" s="96"/>
      <c r="K58" s="60"/>
      <c r="L58" s="3"/>
    </row>
    <row r="59" spans="1:12" ht="20.100000000000001" customHeight="1" outlineLevel="1">
      <c r="A59" s="95" t="str">
        <f>$A$21&amp;"."&amp;3</f>
        <v>C.1.3</v>
      </c>
      <c r="B59" s="12" t="s">
        <v>108</v>
      </c>
      <c r="C59" s="94"/>
      <c r="D59" s="94"/>
      <c r="E59" s="94"/>
      <c r="F59" s="94"/>
      <c r="G59" s="94"/>
      <c r="H59" s="94"/>
      <c r="I59" s="94"/>
      <c r="J59" s="94"/>
      <c r="K59" s="94"/>
      <c r="L59" s="3"/>
    </row>
    <row r="60" spans="1:12" ht="20.100000000000001" customHeight="1" outlineLevel="1">
      <c r="A60" s="9" t="s">
        <v>5</v>
      </c>
      <c r="B60" s="11" t="s">
        <v>45</v>
      </c>
      <c r="C60" s="11"/>
      <c r="D60" s="11"/>
      <c r="E60" s="11"/>
      <c r="F60" s="11"/>
      <c r="G60" s="11"/>
      <c r="H60" s="11"/>
      <c r="I60" s="10" t="s">
        <v>48</v>
      </c>
      <c r="J60" s="97">
        <v>2.6525058127308663</v>
      </c>
      <c r="K60" s="93" t="s">
        <v>8</v>
      </c>
      <c r="L60" s="3"/>
    </row>
    <row r="61" spans="1:12" ht="20.100000000000001" customHeight="1" outlineLevel="1">
      <c r="A61" s="9" t="s">
        <v>4</v>
      </c>
      <c r="B61" s="8" t="s">
        <v>46</v>
      </c>
      <c r="C61" s="8"/>
      <c r="D61" s="8"/>
      <c r="E61" s="8"/>
      <c r="F61" s="8"/>
      <c r="G61" s="8"/>
      <c r="H61" s="8"/>
      <c r="I61" s="7" t="s">
        <v>47</v>
      </c>
      <c r="J61" s="98">
        <v>5890.4862254808613</v>
      </c>
      <c r="K61" s="5" t="s">
        <v>8</v>
      </c>
      <c r="L61" s="3"/>
    </row>
    <row r="62" spans="1:12" ht="20.100000000000001" customHeight="1" outlineLevel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3"/>
    </row>
    <row r="63" spans="1:12" ht="20.100000000000001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3"/>
    </row>
    <row r="64" spans="1:12" ht="20.100000000000001" customHeight="1" thickBot="1">
      <c r="A64" s="14" t="str">
        <f>$A$11&amp;"."&amp;2</f>
        <v>C.2</v>
      </c>
      <c r="B64" s="14" t="s">
        <v>57</v>
      </c>
      <c r="C64" s="14"/>
      <c r="D64" s="14"/>
      <c r="E64" s="14"/>
      <c r="F64" s="14"/>
      <c r="G64" s="14"/>
      <c r="H64" s="14"/>
      <c r="I64" s="14"/>
      <c r="J64" s="14"/>
      <c r="K64" s="13"/>
      <c r="L64" s="3"/>
    </row>
    <row r="65" spans="1:114" ht="20.100000000000001" customHeight="1" outlineLevel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3"/>
    </row>
    <row r="66" spans="1:114" ht="20.100000000000001" customHeight="1" outlineLevel="1">
      <c r="A66" s="4"/>
      <c r="B66" s="33"/>
      <c r="C66" s="32"/>
      <c r="D66" s="32"/>
      <c r="E66" s="32"/>
      <c r="F66" s="32"/>
      <c r="G66" s="32"/>
      <c r="H66" s="32"/>
      <c r="I66" s="32"/>
      <c r="J66" s="32"/>
      <c r="K66" s="31"/>
      <c r="L66" s="3"/>
      <c r="N66" s="70" t="s">
        <v>120</v>
      </c>
      <c r="O66" s="71">
        <v>-876.58190219806704</v>
      </c>
      <c r="P66" s="71">
        <v>-850.80028912083344</v>
      </c>
      <c r="Q66" s="71">
        <v>-825.01867604359984</v>
      </c>
      <c r="R66" s="71">
        <v>-799.23706296636624</v>
      </c>
      <c r="S66" s="71">
        <v>-773.45544988913264</v>
      </c>
      <c r="T66" s="71">
        <v>-747.67383681189892</v>
      </c>
      <c r="U66" s="71">
        <v>-721.89222373466544</v>
      </c>
      <c r="V66" s="71">
        <v>-696.11061065743172</v>
      </c>
      <c r="W66" s="71">
        <v>-670.32899758019812</v>
      </c>
      <c r="X66" s="71">
        <v>-644.54738450296452</v>
      </c>
      <c r="Y66" s="71">
        <v>-618.76577142573103</v>
      </c>
      <c r="Z66" s="71">
        <v>-592.98415834849732</v>
      </c>
      <c r="AA66" s="71">
        <v>-567.20254527126372</v>
      </c>
      <c r="AB66" s="71">
        <v>-541.42093219403012</v>
      </c>
      <c r="AC66" s="71">
        <v>-515.63931911679651</v>
      </c>
      <c r="AD66" s="71">
        <v>-489.85770603956286</v>
      </c>
      <c r="AE66" s="71">
        <v>-464.07609296232926</v>
      </c>
      <c r="AF66" s="71">
        <v>-438.29447988509565</v>
      </c>
      <c r="AG66" s="71">
        <v>-412.51286680786205</v>
      </c>
      <c r="AH66" s="71">
        <v>-386.73125373062845</v>
      </c>
      <c r="AI66" s="71">
        <v>-360.94964065339485</v>
      </c>
      <c r="AJ66" s="71">
        <v>-335.16802757616119</v>
      </c>
      <c r="AK66" s="71">
        <v>-309.38641449892765</v>
      </c>
      <c r="AL66" s="71">
        <v>-283.60480142169399</v>
      </c>
      <c r="AM66" s="71">
        <v>-257.82318834446033</v>
      </c>
      <c r="AN66" s="71">
        <v>-232.04157526722679</v>
      </c>
      <c r="AO66" s="71">
        <v>-206.25996218999313</v>
      </c>
      <c r="AP66" s="71">
        <v>-180.47834911275959</v>
      </c>
      <c r="AQ66" s="71">
        <v>-154.6967360355259</v>
      </c>
      <c r="AR66" s="71">
        <v>-128.91512295829236</v>
      </c>
      <c r="AS66" s="71">
        <v>-103.13350988105871</v>
      </c>
      <c r="AT66" s="71">
        <v>-77.351896803825156</v>
      </c>
      <c r="AU66" s="71">
        <v>-51.570283726591498</v>
      </c>
      <c r="AV66" s="71">
        <v>-25.78867064935784</v>
      </c>
      <c r="AW66" s="71">
        <v>-7.0575721242930739E-3</v>
      </c>
      <c r="AX66" s="71">
        <v>25.774555505109369</v>
      </c>
      <c r="AY66" s="71">
        <v>51.556168582342913</v>
      </c>
      <c r="AZ66" s="71">
        <v>77.337781659576578</v>
      </c>
      <c r="BA66" s="71">
        <v>103.11939473681012</v>
      </c>
      <c r="BB66" s="71">
        <v>128.90100781404379</v>
      </c>
      <c r="BC66" s="71">
        <v>154.68262089127734</v>
      </c>
      <c r="BD66" s="71">
        <v>180.46423396851111</v>
      </c>
      <c r="BE66" s="71">
        <v>206.24584704574465</v>
      </c>
      <c r="BF66" s="71">
        <v>232.0274601229782</v>
      </c>
      <c r="BG66" s="71">
        <v>257.80907320021174</v>
      </c>
      <c r="BH66" s="71">
        <v>283.59068627744551</v>
      </c>
      <c r="BI66" s="71">
        <v>309.37229935467906</v>
      </c>
      <c r="BJ66" s="71">
        <v>335.1539124319126</v>
      </c>
      <c r="BK66" s="71">
        <v>360.93552550914637</v>
      </c>
      <c r="BL66" s="71">
        <v>386.71713858637992</v>
      </c>
      <c r="BM66" s="71">
        <v>412.49875166361346</v>
      </c>
      <c r="BN66" s="71">
        <v>438.28036474084701</v>
      </c>
      <c r="BO66" s="71">
        <v>464.06197781808083</v>
      </c>
      <c r="BP66" s="71">
        <v>489.84359089531438</v>
      </c>
      <c r="BQ66" s="71">
        <v>515.62520397254787</v>
      </c>
      <c r="BR66" s="71">
        <v>541.40681704978147</v>
      </c>
      <c r="BS66" s="71">
        <v>567.18843012701518</v>
      </c>
      <c r="BT66" s="71">
        <v>592.97004320424878</v>
      </c>
      <c r="BU66" s="71">
        <v>618.75165628148227</v>
      </c>
      <c r="BV66" s="71">
        <v>644.5332693587161</v>
      </c>
      <c r="BW66" s="71">
        <v>670.31488243594958</v>
      </c>
      <c r="BX66" s="71">
        <v>696.09649551318319</v>
      </c>
      <c r="BY66" s="71">
        <v>721.87810859041667</v>
      </c>
      <c r="BZ66" s="71">
        <v>747.6597216676505</v>
      </c>
      <c r="CA66" s="71">
        <v>773.4413347448841</v>
      </c>
      <c r="CB66" s="71">
        <v>799.22294782211759</v>
      </c>
      <c r="CC66" s="71">
        <v>825.00456089935142</v>
      </c>
      <c r="CD66" s="71">
        <v>850.78617397658491</v>
      </c>
      <c r="CE66" s="71">
        <v>876.56778705381851</v>
      </c>
      <c r="CF66" s="71">
        <v>902.34940013105199</v>
      </c>
      <c r="CG66" s="71">
        <v>928.13101320828582</v>
      </c>
      <c r="CH66" s="71">
        <v>953.91262628551931</v>
      </c>
      <c r="CI66" s="71">
        <v>979.69423936275291</v>
      </c>
      <c r="CJ66" s="71">
        <v>1005.4758524399866</v>
      </c>
      <c r="CK66" s="71">
        <v>1031.2574655172202</v>
      </c>
      <c r="CL66" s="71">
        <v>1057.0390785944537</v>
      </c>
      <c r="CM66" s="71">
        <v>1082.8206916716872</v>
      </c>
      <c r="CN66" s="71">
        <v>1108.6023047489211</v>
      </c>
      <c r="CO66" s="71">
        <v>1134.3839178261546</v>
      </c>
      <c r="CP66" s="71">
        <v>1160.1655309033883</v>
      </c>
      <c r="CQ66" s="71">
        <v>1185.9471439806218</v>
      </c>
      <c r="CR66" s="71">
        <v>1211.7287570578553</v>
      </c>
      <c r="CS66" s="71">
        <v>1237.5103701350895</v>
      </c>
      <c r="CT66" s="71">
        <v>1263.291983212323</v>
      </c>
      <c r="CU66" s="71">
        <v>1289.0735962895565</v>
      </c>
      <c r="CV66" s="71">
        <v>1314.8552093667899</v>
      </c>
      <c r="CW66" s="71">
        <v>1340.6368224440237</v>
      </c>
      <c r="CX66" s="71">
        <v>1366.4184355212572</v>
      </c>
      <c r="CY66" s="71">
        <v>1392.2000485984906</v>
      </c>
      <c r="CZ66" s="71">
        <v>1417.9816616757246</v>
      </c>
      <c r="DA66" s="71">
        <v>1443.7632747529583</v>
      </c>
      <c r="DB66" s="71">
        <v>1469.5448878301918</v>
      </c>
      <c r="DC66" s="71">
        <v>1495.3265009074253</v>
      </c>
      <c r="DD66" s="71">
        <v>1521.1081139846588</v>
      </c>
      <c r="DE66" s="71">
        <v>1546.8897270618925</v>
      </c>
      <c r="DF66" s="71">
        <v>1572.671340139126</v>
      </c>
      <c r="DG66" s="71">
        <v>1598.4529532163599</v>
      </c>
      <c r="DH66" s="71">
        <v>1624.2345662935934</v>
      </c>
      <c r="DI66" s="71">
        <v>1650.0161793708271</v>
      </c>
      <c r="DJ66" s="71">
        <v>1675.7977924480606</v>
      </c>
    </row>
    <row r="67" spans="1:114" ht="20.100000000000001" customHeight="1" outlineLevel="1">
      <c r="A67" s="4"/>
      <c r="B67" s="30"/>
      <c r="C67" s="4"/>
      <c r="D67" s="4"/>
      <c r="E67" s="4"/>
      <c r="F67" s="4"/>
      <c r="G67" s="4"/>
      <c r="H67" s="4"/>
      <c r="I67" s="4"/>
      <c r="J67" s="4"/>
      <c r="K67" s="29"/>
      <c r="L67" s="3"/>
      <c r="N67" s="70" t="s">
        <v>121</v>
      </c>
      <c r="O67" s="71">
        <v>2871.5053973063123</v>
      </c>
      <c r="P67" s="71">
        <v>2871.5053973063123</v>
      </c>
      <c r="Q67" s="71">
        <v>2871.506253583641</v>
      </c>
      <c r="R67" s="71">
        <v>2871.5166498832218</v>
      </c>
      <c r="S67" s="71">
        <v>2871.5388475623581</v>
      </c>
      <c r="T67" s="71">
        <v>2871.5728466210494</v>
      </c>
      <c r="U67" s="71">
        <v>2871.6186470592961</v>
      </c>
      <c r="V67" s="71">
        <v>2871.6762488770978</v>
      </c>
      <c r="W67" s="71">
        <v>2871.7456520744545</v>
      </c>
      <c r="X67" s="71">
        <v>2871.8268566513661</v>
      </c>
      <c r="Y67" s="71">
        <v>2871.9198626078328</v>
      </c>
      <c r="Z67" s="71">
        <v>2872.0246699438549</v>
      </c>
      <c r="AA67" s="71">
        <v>2872.1412786594319</v>
      </c>
      <c r="AB67" s="71">
        <v>2872.2696887545635</v>
      </c>
      <c r="AC67" s="71">
        <v>2872.4099002292505</v>
      </c>
      <c r="AD67" s="71">
        <v>2872.561913083493</v>
      </c>
      <c r="AE67" s="71">
        <v>2872.72572731729</v>
      </c>
      <c r="AF67" s="71">
        <v>2872.9013429306424</v>
      </c>
      <c r="AG67" s="71">
        <v>2873.0887599235493</v>
      </c>
      <c r="AH67" s="71">
        <v>2873.2879782960117</v>
      </c>
      <c r="AI67" s="71">
        <v>2873.4989980480295</v>
      </c>
      <c r="AJ67" s="71">
        <v>2873.7218191796019</v>
      </c>
      <c r="AK67" s="71">
        <v>2873.9564416907297</v>
      </c>
      <c r="AL67" s="71">
        <v>2874.202865581412</v>
      </c>
      <c r="AM67" s="71">
        <v>2874.4610908516497</v>
      </c>
      <c r="AN67" s="71">
        <v>2874.7311175014424</v>
      </c>
      <c r="AO67" s="71">
        <v>2875.0129455307901</v>
      </c>
      <c r="AP67" s="71">
        <v>2875.3065749396933</v>
      </c>
      <c r="AQ67" s="71">
        <v>2875.612005728151</v>
      </c>
      <c r="AR67" s="71">
        <v>2875.9292378961645</v>
      </c>
      <c r="AS67" s="71">
        <v>2876.3505182065087</v>
      </c>
      <c r="AT67" s="71">
        <v>2877.0782074260987</v>
      </c>
      <c r="AU67" s="71">
        <v>2878.1194844258575</v>
      </c>
      <c r="AV67" s="71">
        <v>2879.4743492057855</v>
      </c>
      <c r="AW67" s="71">
        <v>2881.1428017658823</v>
      </c>
      <c r="AX67" s="71">
        <v>2883.1248421061487</v>
      </c>
      <c r="AY67" s="71">
        <v>2885.4204702265833</v>
      </c>
      <c r="AZ67" s="71">
        <v>2888.0296861271877</v>
      </c>
      <c r="BA67" s="71">
        <v>2890.9524898079608</v>
      </c>
      <c r="BB67" s="71">
        <v>2894.1888812689026</v>
      </c>
      <c r="BC67" s="71">
        <v>2897.7388605100141</v>
      </c>
      <c r="BD67" s="71">
        <v>2901.6024275312939</v>
      </c>
      <c r="BE67" s="71">
        <v>2905.7795823327433</v>
      </c>
      <c r="BF67" s="71">
        <v>2910.2703249143619</v>
      </c>
      <c r="BG67" s="71">
        <v>2915.0746552761489</v>
      </c>
      <c r="BH67" s="71">
        <v>2920.1925734181054</v>
      </c>
      <c r="BI67" s="71">
        <v>2925.6240793402312</v>
      </c>
      <c r="BJ67" s="71">
        <v>2931.3691730425257</v>
      </c>
      <c r="BK67" s="71">
        <v>2937.427854524989</v>
      </c>
      <c r="BL67" s="71">
        <v>2943.8001237876219</v>
      </c>
      <c r="BM67" s="71">
        <v>2950.4859808304236</v>
      </c>
      <c r="BN67" s="71">
        <v>2957.485425653394</v>
      </c>
      <c r="BO67" s="71">
        <v>2964.7984582565336</v>
      </c>
      <c r="BP67" s="71">
        <v>2972.4250786398425</v>
      </c>
      <c r="BQ67" s="71">
        <v>2980.3652868033205</v>
      </c>
      <c r="BR67" s="71">
        <v>2988.6190827469673</v>
      </c>
      <c r="BS67" s="71">
        <v>2997.1864664707832</v>
      </c>
      <c r="BT67" s="71">
        <v>3006.0674379747684</v>
      </c>
      <c r="BU67" s="71">
        <v>3015.2619972589223</v>
      </c>
      <c r="BV67" s="71">
        <v>3024.7701443232449</v>
      </c>
      <c r="BW67" s="71">
        <v>3034.5918791677373</v>
      </c>
      <c r="BX67" s="71">
        <v>3044.7272017923983</v>
      </c>
      <c r="BY67" s="71">
        <v>3055.1761121972286</v>
      </c>
      <c r="BZ67" s="71">
        <v>3065.9386103822276</v>
      </c>
      <c r="CA67" s="71">
        <v>3077.0146963473962</v>
      </c>
      <c r="CB67" s="71">
        <v>3088.4043700927332</v>
      </c>
      <c r="CC67" s="71">
        <v>3100.1076316182398</v>
      </c>
      <c r="CD67" s="71">
        <v>3112.1244809239151</v>
      </c>
      <c r="CE67" s="71">
        <v>3124.4549180097597</v>
      </c>
      <c r="CF67" s="71">
        <v>3137.098942875773</v>
      </c>
      <c r="CG67" s="71">
        <v>3150.0565555219555</v>
      </c>
      <c r="CH67" s="71">
        <v>3163.3277559483076</v>
      </c>
      <c r="CI67" s="71">
        <v>3176.9125441548281</v>
      </c>
      <c r="CJ67" s="71">
        <v>3190.8109201415177</v>
      </c>
      <c r="CK67" s="71">
        <v>3205.0228839083766</v>
      </c>
      <c r="CL67" s="71">
        <v>3219.5484354554042</v>
      </c>
      <c r="CM67" s="71">
        <v>3234.387574782601</v>
      </c>
      <c r="CN67" s="71">
        <v>3249.5403018899674</v>
      </c>
      <c r="CO67" s="71">
        <v>3265.0066167775021</v>
      </c>
      <c r="CP67" s="71">
        <v>3280.7865194452056</v>
      </c>
      <c r="CQ67" s="71">
        <v>3296.8800098930787</v>
      </c>
      <c r="CR67" s="71">
        <v>3313.2870881211206</v>
      </c>
      <c r="CS67" s="71">
        <v>3330.0077541293322</v>
      </c>
      <c r="CT67" s="71">
        <v>3347.042007917712</v>
      </c>
      <c r="CU67" s="71">
        <v>3364.389849486261</v>
      </c>
      <c r="CV67" s="71">
        <v>3382.0512788349797</v>
      </c>
      <c r="CW67" s="71">
        <v>3400.0262959638667</v>
      </c>
      <c r="CX67" s="71">
        <v>3418.3149008729229</v>
      </c>
      <c r="CY67" s="71">
        <v>3436.9170935621482</v>
      </c>
      <c r="CZ67" s="71">
        <v>3455.8328740315428</v>
      </c>
      <c r="DA67" s="71">
        <v>3475.0622422811061</v>
      </c>
      <c r="DB67" s="71">
        <v>3494.6051983108391</v>
      </c>
      <c r="DC67" s="71">
        <v>3514.4617421207399</v>
      </c>
      <c r="DD67" s="71">
        <v>3534.6318737108109</v>
      </c>
      <c r="DE67" s="71">
        <v>3555.1155930810505</v>
      </c>
      <c r="DF67" s="71">
        <v>3575.9129002314594</v>
      </c>
      <c r="DG67" s="71">
        <v>3597.023795162037</v>
      </c>
      <c r="DH67" s="71">
        <v>3618.4482778727838</v>
      </c>
      <c r="DI67" s="71">
        <v>3640.1863483636994</v>
      </c>
      <c r="DJ67" s="71">
        <v>3662.2380066347846</v>
      </c>
    </row>
    <row r="68" spans="1:114" ht="20.100000000000001" customHeight="1" outlineLevel="1">
      <c r="A68" s="4"/>
      <c r="B68" s="30"/>
      <c r="C68" s="4"/>
      <c r="D68" s="4"/>
      <c r="E68" s="4"/>
      <c r="F68" s="4"/>
      <c r="G68" s="4"/>
      <c r="H68" s="4"/>
      <c r="I68" s="4"/>
      <c r="J68" s="4"/>
      <c r="K68" s="29"/>
      <c r="L68" s="3"/>
      <c r="N68" s="70" t="s">
        <v>58</v>
      </c>
      <c r="O68" s="71">
        <v>-126.72273417180187</v>
      </c>
      <c r="P68" s="71">
        <v>-126.72273417180187</v>
      </c>
      <c r="Q68" s="71">
        <v>-126.7041187460072</v>
      </c>
      <c r="R68" s="71">
        <v>-126.4781037190603</v>
      </c>
      <c r="S68" s="71">
        <v>-125.9955272976199</v>
      </c>
      <c r="T68" s="71">
        <v>-125.25638948168603</v>
      </c>
      <c r="U68" s="71">
        <v>-124.26069027125871</v>
      </c>
      <c r="V68" s="71">
        <v>-123.00842966633789</v>
      </c>
      <c r="W68" s="71">
        <v>-121.49960766692357</v>
      </c>
      <c r="X68" s="71">
        <v>-119.7342242730158</v>
      </c>
      <c r="Y68" s="71">
        <v>-117.71227948461456</v>
      </c>
      <c r="Z68" s="71">
        <v>-115.43377330171981</v>
      </c>
      <c r="AA68" s="71">
        <v>-112.89870572433159</v>
      </c>
      <c r="AB68" s="71">
        <v>-110.10707675244991</v>
      </c>
      <c r="AC68" s="71">
        <v>-107.05888638607475</v>
      </c>
      <c r="AD68" s="71">
        <v>-103.75413462520611</v>
      </c>
      <c r="AE68" s="71">
        <v>-100.19282146984399</v>
      </c>
      <c r="AF68" s="71">
        <v>-96.374946919988403</v>
      </c>
      <c r="AG68" s="71">
        <v>-92.300510975639327</v>
      </c>
      <c r="AH68" s="71">
        <v>-87.969513636796762</v>
      </c>
      <c r="AI68" s="71">
        <v>-83.381954903460738</v>
      </c>
      <c r="AJ68" s="71">
        <v>-78.537834775631211</v>
      </c>
      <c r="AK68" s="71">
        <v>-73.437153253308239</v>
      </c>
      <c r="AL68" s="71">
        <v>-68.079910336491764</v>
      </c>
      <c r="AM68" s="71">
        <v>-62.466106025181823</v>
      </c>
      <c r="AN68" s="71">
        <v>-56.595740319378429</v>
      </c>
      <c r="AO68" s="71">
        <v>-50.468813219081511</v>
      </c>
      <c r="AP68" s="71">
        <v>-44.085324724291155</v>
      </c>
      <c r="AQ68" s="71">
        <v>-37.445274835007289</v>
      </c>
      <c r="AR68" s="71">
        <v>-30.548663551229978</v>
      </c>
      <c r="AS68" s="71">
        <v>-23.175354706456709</v>
      </c>
      <c r="AT68" s="71">
        <v>-14.842437875018952</v>
      </c>
      <c r="AU68" s="71">
        <v>-5.5327815167150085</v>
      </c>
      <c r="AV68" s="71">
        <v>4.7536143684550858</v>
      </c>
      <c r="AW68" s="71">
        <v>16.016749780491285</v>
      </c>
      <c r="AX68" s="71">
        <v>28.256624719393685</v>
      </c>
      <c r="AY68" s="71">
        <v>41.473239185162171</v>
      </c>
      <c r="AZ68" s="71">
        <v>55.666593177796877</v>
      </c>
      <c r="BA68" s="71">
        <v>70.836686697297665</v>
      </c>
      <c r="BB68" s="71">
        <v>86.983519743664658</v>
      </c>
      <c r="BC68" s="71">
        <v>104.10709231689773</v>
      </c>
      <c r="BD68" s="71">
        <v>122.20740441699712</v>
      </c>
      <c r="BE68" s="71">
        <v>141.28445604396248</v>
      </c>
      <c r="BF68" s="71">
        <v>161.33824719779403</v>
      </c>
      <c r="BG68" s="71">
        <v>182.3687778784917</v>
      </c>
      <c r="BH68" s="71">
        <v>204.37604808605568</v>
      </c>
      <c r="BI68" s="71">
        <v>227.36005782048565</v>
      </c>
      <c r="BJ68" s="71">
        <v>251.32080708178177</v>
      </c>
      <c r="BK68" s="71">
        <v>276.25829586994422</v>
      </c>
      <c r="BL68" s="71">
        <v>302.17252418497264</v>
      </c>
      <c r="BM68" s="71">
        <v>329.06349202686721</v>
      </c>
      <c r="BN68" s="71">
        <v>356.93119939562791</v>
      </c>
      <c r="BO68" s="71">
        <v>385.77564629125499</v>
      </c>
      <c r="BP68" s="71">
        <v>415.59683271374792</v>
      </c>
      <c r="BQ68" s="71">
        <v>446.39475866310704</v>
      </c>
      <c r="BR68" s="71">
        <v>478.16942413933236</v>
      </c>
      <c r="BS68" s="71">
        <v>510.92082914242411</v>
      </c>
      <c r="BT68" s="71">
        <v>544.64897367238166</v>
      </c>
      <c r="BU68" s="71">
        <v>579.35385772920529</v>
      </c>
      <c r="BV68" s="71">
        <v>615.03548131289551</v>
      </c>
      <c r="BW68" s="71">
        <v>651.69384442345154</v>
      </c>
      <c r="BX68" s="71">
        <v>689.3289470608737</v>
      </c>
      <c r="BY68" s="71">
        <v>727.94078922516201</v>
      </c>
      <c r="BZ68" s="71">
        <v>767.52937091631679</v>
      </c>
      <c r="CA68" s="71">
        <v>808.09469213433749</v>
      </c>
      <c r="CB68" s="71">
        <v>849.6367528792241</v>
      </c>
      <c r="CC68" s="71">
        <v>892.15555315097743</v>
      </c>
      <c r="CD68" s="71">
        <v>935.65109294959643</v>
      </c>
      <c r="CE68" s="71">
        <v>980.12337227508169</v>
      </c>
      <c r="CF68" s="71">
        <v>1025.5723911274331</v>
      </c>
      <c r="CG68" s="71">
        <v>1071.9981495066509</v>
      </c>
      <c r="CH68" s="71">
        <v>1119.4006474127343</v>
      </c>
      <c r="CI68" s="71">
        <v>1167.7798848456841</v>
      </c>
      <c r="CJ68" s="71">
        <v>1217.1358618055006</v>
      </c>
      <c r="CK68" s="71">
        <v>1267.4685782921827</v>
      </c>
      <c r="CL68" s="71">
        <v>1318.7780343057307</v>
      </c>
      <c r="CM68" s="71">
        <v>1371.0642298461451</v>
      </c>
      <c r="CN68" s="71">
        <v>1424.3271649134265</v>
      </c>
      <c r="CO68" s="71">
        <v>1478.5668395075731</v>
      </c>
      <c r="CP68" s="71">
        <v>1533.7832536285862</v>
      </c>
      <c r="CQ68" s="71">
        <v>1589.9764072764649</v>
      </c>
      <c r="CR68" s="71">
        <v>1647.14630045121</v>
      </c>
      <c r="CS68" s="71">
        <v>1705.2929331528223</v>
      </c>
      <c r="CT68" s="71">
        <v>1764.4163053812997</v>
      </c>
      <c r="CU68" s="71">
        <v>1824.5164171366434</v>
      </c>
      <c r="CV68" s="71">
        <v>1885.5932684188529</v>
      </c>
      <c r="CW68" s="71">
        <v>1947.6468592279289</v>
      </c>
      <c r="CX68" s="71">
        <v>2010.6771895638706</v>
      </c>
      <c r="CY68" s="71">
        <v>2074.6842594266786</v>
      </c>
      <c r="CZ68" s="71">
        <v>2139.6680688163542</v>
      </c>
      <c r="DA68" s="71">
        <v>2205.6286177328948</v>
      </c>
      <c r="DB68" s="71">
        <v>2272.5659061763013</v>
      </c>
      <c r="DC68" s="71">
        <v>2340.4799341465741</v>
      </c>
      <c r="DD68" s="71">
        <v>2409.3707016437129</v>
      </c>
      <c r="DE68" s="71">
        <v>2479.238208667718</v>
      </c>
      <c r="DF68" s="71">
        <v>2550.0824552185891</v>
      </c>
      <c r="DG68" s="71">
        <v>2621.9034412963279</v>
      </c>
      <c r="DH68" s="71">
        <v>2694.7011669009312</v>
      </c>
      <c r="DI68" s="71">
        <v>2768.4756320324004</v>
      </c>
      <c r="DJ68" s="71">
        <v>2843.2268366907365</v>
      </c>
    </row>
    <row r="69" spans="1:114" ht="20.100000000000001" customHeight="1" outlineLevel="1">
      <c r="A69" s="4"/>
      <c r="B69" s="30"/>
      <c r="C69" s="4"/>
      <c r="D69" s="4"/>
      <c r="E69" s="4"/>
      <c r="F69" s="4"/>
      <c r="G69" s="4"/>
      <c r="H69" s="4"/>
      <c r="I69" s="4"/>
      <c r="J69" s="4"/>
      <c r="K69" s="29"/>
      <c r="L69" s="3"/>
    </row>
    <row r="70" spans="1:114" ht="20.100000000000001" customHeight="1" outlineLevel="1">
      <c r="A70" s="4"/>
      <c r="B70" s="30"/>
      <c r="C70" s="4"/>
      <c r="D70" s="4"/>
      <c r="E70" s="4"/>
      <c r="F70" s="4"/>
      <c r="G70" s="4"/>
      <c r="H70" s="4"/>
      <c r="I70" s="4"/>
      <c r="J70" s="4"/>
      <c r="K70" s="29"/>
      <c r="L70" s="3"/>
    </row>
    <row r="71" spans="1:114" ht="20.100000000000001" customHeight="1" outlineLevel="1">
      <c r="A71" s="4"/>
      <c r="B71" s="30"/>
      <c r="C71" s="4"/>
      <c r="D71" s="4"/>
      <c r="E71" s="4"/>
      <c r="F71" s="4"/>
      <c r="G71" s="4"/>
      <c r="H71" s="4"/>
      <c r="I71" s="4"/>
      <c r="J71" s="4"/>
      <c r="K71" s="29"/>
      <c r="L71" s="3"/>
    </row>
    <row r="72" spans="1:114" ht="20.100000000000001" customHeight="1" outlineLevel="1">
      <c r="A72" s="4"/>
      <c r="B72" s="30"/>
      <c r="C72" s="4"/>
      <c r="D72" s="4"/>
      <c r="E72" s="4"/>
      <c r="F72" s="4"/>
      <c r="G72" s="4"/>
      <c r="H72" s="4"/>
      <c r="I72" s="4"/>
      <c r="J72" s="4"/>
      <c r="K72" s="29"/>
      <c r="L72" s="3"/>
    </row>
    <row r="73" spans="1:114" ht="20.100000000000001" customHeight="1" outlineLevel="1">
      <c r="A73" s="4"/>
      <c r="B73" s="30"/>
      <c r="C73" s="4"/>
      <c r="D73" s="4"/>
      <c r="E73" s="4"/>
      <c r="F73" s="4"/>
      <c r="G73" s="4"/>
      <c r="H73" s="4"/>
      <c r="I73" s="4"/>
      <c r="J73" s="4"/>
      <c r="K73" s="29"/>
      <c r="L73" s="3"/>
    </row>
    <row r="74" spans="1:114" ht="20.100000000000001" customHeight="1" outlineLevel="1">
      <c r="A74" s="4"/>
      <c r="B74" s="30"/>
      <c r="C74" s="4"/>
      <c r="D74" s="4"/>
      <c r="E74" s="4"/>
      <c r="F74" s="4"/>
      <c r="G74" s="4"/>
      <c r="H74" s="4"/>
      <c r="I74" s="4"/>
      <c r="J74" s="4"/>
      <c r="K74" s="29"/>
      <c r="L74" s="3"/>
    </row>
    <row r="75" spans="1:114" ht="20.100000000000001" customHeight="1" outlineLevel="1">
      <c r="A75" s="4"/>
      <c r="B75" s="30"/>
      <c r="C75" s="4"/>
      <c r="D75" s="4"/>
      <c r="E75" s="4"/>
      <c r="F75" s="4"/>
      <c r="G75" s="4"/>
      <c r="H75" s="4"/>
      <c r="I75" s="4"/>
      <c r="J75" s="4"/>
      <c r="K75" s="29"/>
      <c r="L75" s="3"/>
    </row>
    <row r="76" spans="1:114" ht="20.100000000000001" customHeight="1" outlineLevel="1">
      <c r="A76" s="4"/>
      <c r="B76" s="30"/>
      <c r="C76" s="4"/>
      <c r="D76" s="4"/>
      <c r="E76" s="4"/>
      <c r="F76" s="4"/>
      <c r="G76" s="4"/>
      <c r="H76" s="4"/>
      <c r="I76" s="4"/>
      <c r="J76" s="4"/>
      <c r="K76" s="29"/>
      <c r="L76" s="3"/>
    </row>
    <row r="77" spans="1:114" ht="20.100000000000001" customHeight="1" outlineLevel="1">
      <c r="A77" s="4"/>
      <c r="B77" s="30"/>
      <c r="C77" s="4"/>
      <c r="D77" s="4"/>
      <c r="E77" s="4"/>
      <c r="F77" s="4"/>
      <c r="G77" s="4"/>
      <c r="H77" s="4"/>
      <c r="I77" s="4"/>
      <c r="J77" s="4"/>
      <c r="K77" s="29"/>
      <c r="L77" s="3"/>
    </row>
    <row r="78" spans="1:114" ht="20.100000000000001" customHeight="1" outlineLevel="1">
      <c r="A78" s="4"/>
      <c r="B78" s="30"/>
      <c r="C78" s="4"/>
      <c r="D78" s="4"/>
      <c r="E78" s="4"/>
      <c r="F78" s="4"/>
      <c r="G78" s="4"/>
      <c r="H78" s="4"/>
      <c r="I78" s="4"/>
      <c r="J78" s="4"/>
      <c r="K78" s="29"/>
      <c r="L78" s="3"/>
    </row>
    <row r="79" spans="1:114" ht="20.100000000000001" customHeight="1" outlineLevel="1">
      <c r="A79" s="4"/>
      <c r="B79" s="30"/>
      <c r="C79" s="4"/>
      <c r="D79" s="4"/>
      <c r="E79" s="4"/>
      <c r="F79" s="4"/>
      <c r="G79" s="4"/>
      <c r="H79" s="4"/>
      <c r="I79" s="4"/>
      <c r="J79" s="4"/>
      <c r="K79" s="29"/>
      <c r="L79" s="3"/>
    </row>
    <row r="80" spans="1:114" ht="20.100000000000001" customHeight="1" outlineLevel="1">
      <c r="A80" s="4"/>
      <c r="B80" s="73"/>
      <c r="C80" s="72"/>
      <c r="D80" s="72"/>
      <c r="E80" s="72"/>
      <c r="F80" s="72"/>
      <c r="G80" s="72"/>
      <c r="H80" s="72"/>
      <c r="I80" s="72"/>
      <c r="J80" s="72"/>
      <c r="K80" s="74"/>
      <c r="L80" s="3"/>
    </row>
    <row r="81" spans="1:14" ht="20.100000000000001" customHeight="1" outlineLevel="1">
      <c r="A81" s="9"/>
      <c r="B81" s="17"/>
      <c r="C81" s="17"/>
      <c r="D81" s="17"/>
      <c r="E81" s="17"/>
      <c r="F81" s="17"/>
      <c r="G81" s="17"/>
      <c r="H81" s="17"/>
      <c r="I81" s="16"/>
      <c r="J81" s="68"/>
      <c r="K81" s="15"/>
      <c r="L81" s="3"/>
    </row>
    <row r="82" spans="1:14" ht="20.100000000000001" customHeight="1" outlineLevel="1">
      <c r="A82" s="75" t="str">
        <f>$A$64&amp;"."&amp;1</f>
        <v>C.2.1</v>
      </c>
      <c r="B82" s="12" t="s">
        <v>59</v>
      </c>
      <c r="C82" s="12"/>
      <c r="D82" s="12"/>
      <c r="E82" s="12"/>
      <c r="F82" s="12"/>
      <c r="G82" s="12"/>
      <c r="H82" s="12"/>
      <c r="I82" s="12"/>
      <c r="J82" s="77" t="s">
        <v>60</v>
      </c>
      <c r="K82" s="78" t="s">
        <v>61</v>
      </c>
      <c r="L82" s="3"/>
    </row>
    <row r="83" spans="1:14" ht="20.100000000000001" customHeight="1" outlineLevel="1">
      <c r="A83" s="9" t="s">
        <v>5</v>
      </c>
      <c r="B83" s="11" t="s">
        <v>325</v>
      </c>
      <c r="C83" s="11"/>
      <c r="D83" s="11"/>
      <c r="E83" s="11"/>
      <c r="F83" s="11"/>
      <c r="G83" s="11"/>
      <c r="H83" s="11"/>
      <c r="I83" s="10"/>
      <c r="J83" s="79">
        <v>-123.29166666666667</v>
      </c>
      <c r="K83" s="79">
        <v>2876</v>
      </c>
      <c r="L83" s="3"/>
    </row>
    <row r="84" spans="1:14" ht="20.100000000000001" customHeight="1" outlineLevel="1">
      <c r="A84" s="9" t="s">
        <v>4</v>
      </c>
      <c r="B84" s="8" t="s">
        <v>62</v>
      </c>
      <c r="C84" s="8"/>
      <c r="D84" s="8"/>
      <c r="E84" s="8"/>
      <c r="F84" s="8"/>
      <c r="G84" s="8"/>
      <c r="H84" s="8"/>
      <c r="I84" s="7"/>
      <c r="J84" s="79">
        <v>1595.9978975695815</v>
      </c>
      <c r="K84" s="79">
        <v>3595</v>
      </c>
      <c r="L84" s="3"/>
    </row>
    <row r="85" spans="1:14" ht="20.100000000000001" customHeight="1" outlineLevel="1">
      <c r="A85" s="9" t="s">
        <v>3</v>
      </c>
      <c r="B85" s="8" t="s">
        <v>63</v>
      </c>
      <c r="C85" s="8"/>
      <c r="D85" s="8"/>
      <c r="E85" s="8"/>
      <c r="F85" s="8"/>
      <c r="G85" s="8"/>
      <c r="H85" s="8"/>
      <c r="I85" s="7"/>
      <c r="J85" s="79">
        <v>121.65241674972603</v>
      </c>
      <c r="K85" s="79">
        <v>2893.2472694235034</v>
      </c>
      <c r="L85" s="3"/>
    </row>
    <row r="86" spans="1:14" ht="20.100000000000001" customHeight="1" outlineLevel="1">
      <c r="A86" s="9" t="s">
        <v>7</v>
      </c>
      <c r="B86" s="8" t="s">
        <v>65</v>
      </c>
      <c r="C86" s="8"/>
      <c r="D86" s="8"/>
      <c r="E86" s="8"/>
      <c r="F86" s="8"/>
      <c r="G86" s="8"/>
      <c r="H86" s="8"/>
      <c r="I86" s="7"/>
      <c r="J86" s="79">
        <v>-834.83990685530193</v>
      </c>
      <c r="K86" s="79">
        <v>2871.5053973063123</v>
      </c>
      <c r="L86" s="3"/>
    </row>
    <row r="87" spans="1:14" ht="20.100000000000001" customHeight="1" outlineLevel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3"/>
    </row>
    <row r="88" spans="1:14" ht="20.100000000000001" customHeight="1" outlineLevel="1">
      <c r="A88" s="75" t="str">
        <f>$A$64&amp;"."&amp;2</f>
        <v>C.2.2</v>
      </c>
      <c r="B88" s="12" t="s">
        <v>64</v>
      </c>
      <c r="C88" s="12"/>
      <c r="D88" s="12"/>
      <c r="E88" s="12"/>
      <c r="F88" s="12"/>
      <c r="G88" s="12"/>
      <c r="H88" s="12"/>
      <c r="I88" s="78" t="s">
        <v>95</v>
      </c>
      <c r="J88" s="77" t="s">
        <v>68</v>
      </c>
      <c r="K88" s="78" t="s">
        <v>69</v>
      </c>
      <c r="L88" s="3"/>
    </row>
    <row r="89" spans="1:14" ht="20.100000000000001" customHeight="1" outlineLevel="1">
      <c r="A89" s="9" t="s">
        <v>5</v>
      </c>
      <c r="B89" s="11" t="s">
        <v>327</v>
      </c>
      <c r="C89" s="11"/>
      <c r="D89" s="11"/>
      <c r="E89" s="11"/>
      <c r="F89" s="11"/>
      <c r="G89" s="11"/>
      <c r="H89" s="11"/>
      <c r="I89" s="80">
        <v>2881143.3014286207</v>
      </c>
      <c r="J89" s="80">
        <v>7.0799770658690128E-2</v>
      </c>
      <c r="K89" s="80">
        <v>2.3588969152849519E-7</v>
      </c>
      <c r="L89" s="3"/>
    </row>
    <row r="90" spans="1:14" ht="20.100000000000001" customHeight="1" outlineLevel="1">
      <c r="A90" s="9" t="s">
        <v>4</v>
      </c>
      <c r="B90" s="8" t="s">
        <v>66</v>
      </c>
      <c r="C90" s="8"/>
      <c r="D90" s="8"/>
      <c r="E90" s="8"/>
      <c r="F90" s="8"/>
      <c r="G90" s="8"/>
      <c r="H90" s="8"/>
      <c r="I90" s="80">
        <v>2877692.5240386147</v>
      </c>
      <c r="J90" s="80">
        <v>1.4822307083062213E-2</v>
      </c>
      <c r="K90" s="80">
        <v>8.877335020372522E-9</v>
      </c>
      <c r="L90" s="3"/>
    </row>
    <row r="91" spans="1:14" ht="20.100000000000001" customHeight="1" outlineLevel="1">
      <c r="A91" s="9" t="s">
        <v>3</v>
      </c>
      <c r="B91" s="8" t="s">
        <v>67</v>
      </c>
      <c r="C91" s="8"/>
      <c r="D91" s="8"/>
      <c r="E91" s="8"/>
      <c r="F91" s="8"/>
      <c r="G91" s="8"/>
      <c r="H91" s="8"/>
      <c r="I91" s="80">
        <v>2871505.3973063123</v>
      </c>
      <c r="J91" s="76">
        <v>0</v>
      </c>
      <c r="K91" s="76">
        <v>0</v>
      </c>
      <c r="L91" s="3"/>
    </row>
    <row r="92" spans="1:14" ht="20.100000000000001" customHeight="1" outlineLevel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3"/>
    </row>
    <row r="93" spans="1:14" ht="20.100000000000001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3"/>
    </row>
    <row r="94" spans="1:14" ht="20.100000000000001" customHeight="1" thickBot="1">
      <c r="A94" s="14" t="str">
        <f>$A$11&amp;"."&amp;3</f>
        <v>C.3</v>
      </c>
      <c r="B94" s="14" t="s">
        <v>70</v>
      </c>
      <c r="C94" s="14"/>
      <c r="D94" s="14"/>
      <c r="E94" s="14"/>
      <c r="F94" s="14"/>
      <c r="G94" s="14"/>
      <c r="H94" s="14"/>
      <c r="I94" s="14"/>
      <c r="J94" s="14"/>
      <c r="K94" s="13"/>
      <c r="L94" s="3"/>
    </row>
    <row r="95" spans="1:14" ht="20.100000000000001" customHeight="1" outlineLevel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3"/>
    </row>
    <row r="96" spans="1:14" ht="20.100000000000001" customHeight="1" outlineLevel="1">
      <c r="A96" s="4"/>
      <c r="B96" s="33"/>
      <c r="C96" s="32"/>
      <c r="D96" s="32"/>
      <c r="E96" s="32"/>
      <c r="F96" s="32"/>
      <c r="G96" s="32"/>
      <c r="H96" s="32"/>
      <c r="I96" s="32"/>
      <c r="J96" s="32"/>
      <c r="K96" s="31"/>
      <c r="L96" s="3"/>
      <c r="N96" s="70"/>
    </row>
    <row r="97" spans="1:14" ht="20.100000000000001" customHeight="1" outlineLevel="1">
      <c r="A97" s="4"/>
      <c r="B97" s="30"/>
      <c r="C97" s="4"/>
      <c r="D97" s="4"/>
      <c r="E97" s="4"/>
      <c r="F97" s="4"/>
      <c r="G97" s="4"/>
      <c r="H97" s="4"/>
      <c r="I97" s="4"/>
      <c r="J97" s="4"/>
      <c r="K97" s="29"/>
      <c r="L97" s="3"/>
      <c r="N97" s="70"/>
    </row>
    <row r="98" spans="1:14" ht="20.100000000000001" customHeight="1" outlineLevel="1">
      <c r="A98" s="4"/>
      <c r="B98" s="30"/>
      <c r="C98" s="4"/>
      <c r="D98" s="4"/>
      <c r="E98" s="4"/>
      <c r="F98" s="4"/>
      <c r="G98" s="4"/>
      <c r="H98" s="4"/>
      <c r="I98" s="4"/>
      <c r="J98" s="4"/>
      <c r="K98" s="29"/>
      <c r="L98" s="3"/>
      <c r="N98" s="70"/>
    </row>
    <row r="99" spans="1:14" ht="20.100000000000001" customHeight="1" outlineLevel="1">
      <c r="A99" s="4"/>
      <c r="B99" s="30"/>
      <c r="C99" s="4"/>
      <c r="D99" s="4"/>
      <c r="E99" s="4"/>
      <c r="F99" s="4"/>
      <c r="G99" s="4"/>
      <c r="H99" s="4"/>
      <c r="I99" s="4"/>
      <c r="J99" s="4"/>
      <c r="K99" s="29"/>
      <c r="L99" s="3"/>
    </row>
    <row r="100" spans="1:14" ht="20.100000000000001" customHeight="1" outlineLevel="1">
      <c r="A100" s="4"/>
      <c r="B100" s="30"/>
      <c r="C100" s="4"/>
      <c r="D100" s="4"/>
      <c r="E100" s="4"/>
      <c r="F100" s="4"/>
      <c r="G100" s="4"/>
      <c r="H100" s="4"/>
      <c r="I100" s="4"/>
      <c r="J100" s="4"/>
      <c r="K100" s="29"/>
      <c r="L100" s="3"/>
    </row>
    <row r="101" spans="1:14" ht="20.100000000000001" customHeight="1" outlineLevel="1">
      <c r="A101" s="4"/>
      <c r="B101" s="30"/>
      <c r="C101" s="4"/>
      <c r="D101" s="4"/>
      <c r="E101" s="4"/>
      <c r="F101" s="4"/>
      <c r="G101" s="4"/>
      <c r="H101" s="4"/>
      <c r="I101" s="4"/>
      <c r="J101" s="4"/>
      <c r="K101" s="29"/>
      <c r="L101" s="3"/>
    </row>
    <row r="102" spans="1:14" ht="20.100000000000001" customHeight="1" outlineLevel="1">
      <c r="A102" s="4"/>
      <c r="B102" s="30"/>
      <c r="C102" s="4"/>
      <c r="D102" s="4"/>
      <c r="E102" s="4"/>
      <c r="F102" s="4"/>
      <c r="G102" s="4"/>
      <c r="H102" s="4"/>
      <c r="I102" s="4"/>
      <c r="J102" s="4"/>
      <c r="K102" s="29"/>
      <c r="L102" s="3"/>
    </row>
    <row r="103" spans="1:14" ht="20.100000000000001" customHeight="1" outlineLevel="1">
      <c r="A103" s="4"/>
      <c r="B103" s="30"/>
      <c r="C103" s="4"/>
      <c r="D103" s="4"/>
      <c r="E103" s="4"/>
      <c r="F103" s="4"/>
      <c r="G103" s="4"/>
      <c r="H103" s="4"/>
      <c r="I103" s="4"/>
      <c r="J103" s="4"/>
      <c r="K103" s="29"/>
      <c r="L103" s="3"/>
    </row>
    <row r="104" spans="1:14" ht="20.100000000000001" customHeight="1" outlineLevel="1">
      <c r="A104" s="4"/>
      <c r="B104" s="30"/>
      <c r="C104" s="4"/>
      <c r="D104" s="4"/>
      <c r="E104" s="4"/>
      <c r="F104" s="4"/>
      <c r="G104" s="4"/>
      <c r="H104" s="4"/>
      <c r="I104" s="4"/>
      <c r="J104" s="4"/>
      <c r="K104" s="29"/>
      <c r="L104" s="3"/>
    </row>
    <row r="105" spans="1:14" ht="20.100000000000001" customHeight="1" outlineLevel="1">
      <c r="A105" s="4"/>
      <c r="B105" s="30"/>
      <c r="C105" s="4"/>
      <c r="D105" s="4"/>
      <c r="E105" s="4"/>
      <c r="F105" s="4"/>
      <c r="G105" s="4"/>
      <c r="H105" s="4"/>
      <c r="I105" s="4"/>
      <c r="J105" s="4"/>
      <c r="K105" s="29"/>
      <c r="L105" s="3"/>
    </row>
    <row r="106" spans="1:14" ht="20.100000000000001" customHeight="1" outlineLevel="1">
      <c r="A106" s="4"/>
      <c r="B106" s="30"/>
      <c r="C106" s="4"/>
      <c r="D106" s="4"/>
      <c r="E106" s="4"/>
      <c r="F106" s="4"/>
      <c r="G106" s="4"/>
      <c r="H106" s="4"/>
      <c r="I106" s="4"/>
      <c r="J106" s="4"/>
      <c r="K106" s="29"/>
      <c r="L106" s="3"/>
    </row>
    <row r="107" spans="1:14" ht="20.100000000000001" customHeight="1" outlineLevel="1">
      <c r="A107" s="4"/>
      <c r="B107" s="30"/>
      <c r="C107" s="4"/>
      <c r="D107" s="4"/>
      <c r="E107" s="4"/>
      <c r="F107" s="4"/>
      <c r="G107" s="4"/>
      <c r="H107" s="4"/>
      <c r="I107" s="4"/>
      <c r="J107" s="4"/>
      <c r="K107" s="29"/>
      <c r="L107" s="3"/>
    </row>
    <row r="108" spans="1:14" ht="20.100000000000001" customHeight="1" outlineLevel="1">
      <c r="A108" s="4"/>
      <c r="B108" s="30"/>
      <c r="C108" s="4"/>
      <c r="D108" s="4"/>
      <c r="E108" s="4"/>
      <c r="F108" s="4"/>
      <c r="G108" s="4"/>
      <c r="H108" s="4"/>
      <c r="I108" s="4"/>
      <c r="J108" s="4"/>
      <c r="K108" s="29"/>
      <c r="L108" s="3"/>
    </row>
    <row r="109" spans="1:14" ht="20.100000000000001" customHeight="1" outlineLevel="1">
      <c r="A109" s="4"/>
      <c r="B109" s="30"/>
      <c r="C109" s="4"/>
      <c r="D109" s="4"/>
      <c r="E109" s="4"/>
      <c r="F109" s="4"/>
      <c r="G109" s="4"/>
      <c r="H109" s="4"/>
      <c r="I109" s="4"/>
      <c r="J109" s="4"/>
      <c r="K109" s="29"/>
      <c r="L109" s="3"/>
    </row>
    <row r="110" spans="1:14" ht="20.100000000000001" customHeight="1" outlineLevel="1">
      <c r="A110" s="4"/>
      <c r="B110" s="73"/>
      <c r="C110" s="72"/>
      <c r="D110" s="72"/>
      <c r="E110" s="72"/>
      <c r="F110" s="72"/>
      <c r="G110" s="72"/>
      <c r="H110" s="72"/>
      <c r="I110" s="72"/>
      <c r="J110" s="72"/>
      <c r="K110" s="74"/>
      <c r="L110" s="3"/>
    </row>
    <row r="111" spans="1:14" ht="20.100000000000001" customHeight="1" outlineLevel="1">
      <c r="A111" s="9"/>
      <c r="B111" s="17"/>
      <c r="C111" s="17"/>
      <c r="D111" s="17"/>
      <c r="E111" s="17"/>
      <c r="F111" s="17"/>
      <c r="G111" s="17"/>
      <c r="H111" s="17"/>
      <c r="I111" s="16"/>
      <c r="J111" s="68"/>
      <c r="K111" s="15"/>
      <c r="L111" s="3"/>
    </row>
    <row r="112" spans="1:14" ht="20.100000000000001" customHeight="1" outlineLevel="1">
      <c r="A112" s="75" t="str">
        <f>$A$94&amp;"."&amp;1</f>
        <v>C.3.1</v>
      </c>
      <c r="B112" s="12" t="s">
        <v>59</v>
      </c>
      <c r="C112" s="12"/>
      <c r="D112" s="12"/>
      <c r="E112" s="12"/>
      <c r="F112" s="12"/>
      <c r="G112" s="12"/>
      <c r="H112" s="12"/>
      <c r="I112" s="12"/>
      <c r="J112" s="77" t="s">
        <v>60</v>
      </c>
      <c r="K112" s="78" t="s">
        <v>71</v>
      </c>
      <c r="L112" s="3"/>
    </row>
    <row r="113" spans="1:21" ht="20.100000000000001" customHeight="1" outlineLevel="1">
      <c r="A113" s="9" t="s">
        <v>5</v>
      </c>
      <c r="B113" s="11" t="s">
        <v>325</v>
      </c>
      <c r="C113" s="11"/>
      <c r="D113" s="11"/>
      <c r="E113" s="11"/>
      <c r="F113" s="11"/>
      <c r="G113" s="11"/>
      <c r="H113" s="11"/>
      <c r="I113" s="10"/>
      <c r="J113" s="79">
        <f>point1.Z</f>
        <v>-123.29166666666667</v>
      </c>
      <c r="K113" s="79">
        <v>-29.0102989937151</v>
      </c>
      <c r="L113" s="3"/>
    </row>
    <row r="114" spans="1:21" ht="20.100000000000001" customHeight="1" outlineLevel="1">
      <c r="A114" s="9" t="s">
        <v>4</v>
      </c>
      <c r="B114" s="8" t="s">
        <v>62</v>
      </c>
      <c r="C114" s="8"/>
      <c r="D114" s="8"/>
      <c r="E114" s="8"/>
      <c r="F114" s="8"/>
      <c r="G114" s="8"/>
      <c r="H114" s="8"/>
      <c r="I114" s="7"/>
      <c r="J114" s="79">
        <f>point2.Z</f>
        <v>1595.9978975695815</v>
      </c>
      <c r="K114" s="79">
        <v>2615.0222070081377</v>
      </c>
      <c r="L114" s="3"/>
    </row>
    <row r="115" spans="1:21" ht="20.100000000000001" customHeight="1" outlineLevel="1">
      <c r="A115" s="9" t="s">
        <v>3</v>
      </c>
      <c r="B115" s="8" t="s">
        <v>63</v>
      </c>
      <c r="C115" s="8"/>
      <c r="D115" s="8"/>
      <c r="E115" s="8"/>
      <c r="F115" s="8"/>
      <c r="G115" s="8"/>
      <c r="H115" s="8"/>
      <c r="I115" s="7"/>
      <c r="J115" s="79">
        <f>point3.Z</f>
        <v>121.65241674972603</v>
      </c>
      <c r="K115" s="79">
        <v>82.345078359076453</v>
      </c>
      <c r="L115" s="3"/>
    </row>
    <row r="116" spans="1:21" ht="20.100000000000001" customHeight="1" outlineLevel="1">
      <c r="A116" s="9" t="s">
        <v>7</v>
      </c>
      <c r="B116" s="8" t="s">
        <v>65</v>
      </c>
      <c r="C116" s="8"/>
      <c r="D116" s="8"/>
      <c r="E116" s="8"/>
      <c r="F116" s="8"/>
      <c r="G116" s="8"/>
      <c r="H116" s="8"/>
      <c r="I116" s="7"/>
      <c r="J116" s="79">
        <f>point4.Z</f>
        <v>-834.83990685530193</v>
      </c>
      <c r="K116" s="79">
        <v>-126.72273417180187</v>
      </c>
      <c r="L116" s="3"/>
    </row>
    <row r="117" spans="1:21" ht="20.100000000000001" customHeight="1" outlineLevel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3"/>
    </row>
    <row r="118" spans="1:21" ht="20.100000000000001" customHeight="1" outlineLevel="1">
      <c r="A118" s="75" t="str">
        <f>$A$94&amp;"."&amp;2</f>
        <v>C.3.2</v>
      </c>
      <c r="B118" s="12" t="s">
        <v>64</v>
      </c>
      <c r="C118" s="12"/>
      <c r="D118" s="12"/>
      <c r="E118" s="12"/>
      <c r="F118" s="12"/>
      <c r="G118" s="12"/>
      <c r="H118" s="12"/>
      <c r="I118" s="78" t="s">
        <v>95</v>
      </c>
      <c r="J118" s="77" t="s">
        <v>68</v>
      </c>
      <c r="K118" s="78" t="s">
        <v>69</v>
      </c>
      <c r="L118" s="3"/>
    </row>
    <row r="119" spans="1:21" ht="20.100000000000001" customHeight="1" outlineLevel="1">
      <c r="A119" s="9" t="s">
        <v>5</v>
      </c>
      <c r="B119" s="11" t="s">
        <v>327</v>
      </c>
      <c r="C119" s="11"/>
      <c r="D119" s="11"/>
      <c r="E119" s="11"/>
      <c r="F119" s="11"/>
      <c r="G119" s="11"/>
      <c r="H119" s="11"/>
      <c r="I119" s="80">
        <v>16.019966725785302</v>
      </c>
      <c r="J119" s="80">
        <v>4.5581990999699838E-4</v>
      </c>
      <c r="K119" s="80">
        <v>7.3473139027273861E-10</v>
      </c>
      <c r="L119" s="3"/>
    </row>
    <row r="120" spans="1:21" ht="20.100000000000001" customHeight="1" outlineLevel="1">
      <c r="A120" s="9" t="s">
        <v>4</v>
      </c>
      <c r="B120" s="8" t="s">
        <v>66</v>
      </c>
      <c r="C120" s="8"/>
      <c r="D120" s="8"/>
      <c r="E120" s="8"/>
      <c r="F120" s="8"/>
      <c r="G120" s="8"/>
      <c r="H120" s="8"/>
      <c r="I120" s="80">
        <v>7.7850879807117739</v>
      </c>
      <c r="J120" s="80">
        <v>3.2223620612287555E-4</v>
      </c>
      <c r="K120" s="80">
        <v>1.9299281423709354E-10</v>
      </c>
      <c r="L120" s="3"/>
    </row>
    <row r="121" spans="1:21" ht="20.100000000000001" customHeight="1" outlineLevel="1">
      <c r="A121" s="9" t="s">
        <v>3</v>
      </c>
      <c r="B121" s="8" t="s">
        <v>67</v>
      </c>
      <c r="C121" s="8"/>
      <c r="D121" s="8"/>
      <c r="E121" s="8"/>
      <c r="F121" s="8"/>
      <c r="G121" s="8"/>
      <c r="H121" s="8"/>
      <c r="I121" s="80">
        <v>-126.72273417180187</v>
      </c>
      <c r="J121" s="76">
        <v>0</v>
      </c>
      <c r="K121" s="76">
        <v>0</v>
      </c>
      <c r="L121" s="3"/>
    </row>
    <row r="122" spans="1:21" ht="20.100000000000001" customHeight="1" outlineLevel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3"/>
    </row>
    <row r="123" spans="1:21" ht="20.100000000000001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3"/>
    </row>
    <row r="124" spans="1:21" ht="20.100000000000001" customHeight="1" thickBot="1">
      <c r="A124" s="14" t="str">
        <f>$A$11&amp;"."&amp;4</f>
        <v>C.4</v>
      </c>
      <c r="B124" s="14" t="s">
        <v>255</v>
      </c>
      <c r="C124" s="14"/>
      <c r="D124" s="14"/>
      <c r="E124" s="14"/>
      <c r="F124" s="14"/>
      <c r="G124" s="14"/>
      <c r="H124" s="14"/>
      <c r="I124" s="14"/>
      <c r="J124" s="14"/>
      <c r="K124" s="13"/>
      <c r="L124" s="3"/>
      <c r="U124" s="99"/>
    </row>
    <row r="125" spans="1:21" ht="20.100000000000001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3"/>
      <c r="U125" s="99"/>
    </row>
    <row r="126" spans="1:21" ht="20.100000000000001" customHeight="1">
      <c r="A126" s="75" t="str">
        <f>$A$124&amp;"."&amp;1</f>
        <v>C.4.1</v>
      </c>
      <c r="B126" s="12" t="s">
        <v>258</v>
      </c>
      <c r="C126" s="12"/>
      <c r="D126" s="12"/>
      <c r="E126" s="12"/>
      <c r="F126" s="12"/>
      <c r="G126" s="12"/>
      <c r="H126" s="12"/>
      <c r="I126" s="12"/>
      <c r="J126" s="126"/>
      <c r="K126" s="12"/>
      <c r="L126" s="3"/>
      <c r="U126" s="99"/>
    </row>
    <row r="127" spans="1:21" ht="20.100000000000001" customHeight="1">
      <c r="A127" s="9" t="s">
        <v>5</v>
      </c>
      <c r="B127" s="11" t="s">
        <v>263</v>
      </c>
      <c r="C127" s="11"/>
      <c r="D127" s="11"/>
      <c r="E127" s="11"/>
      <c r="F127" s="11"/>
      <c r="G127" s="11"/>
      <c r="H127" s="11"/>
      <c r="I127" s="10" t="s">
        <v>264</v>
      </c>
      <c r="J127" s="127">
        <v>1.4</v>
      </c>
      <c r="K127" s="93" t="s">
        <v>265</v>
      </c>
      <c r="L127" s="3"/>
      <c r="U127" s="99"/>
    </row>
    <row r="128" spans="1:21" ht="20.100000000000001" customHeight="1">
      <c r="A128" s="9" t="s">
        <v>4</v>
      </c>
      <c r="B128" s="11" t="s">
        <v>259</v>
      </c>
      <c r="C128" s="11"/>
      <c r="D128" s="11"/>
      <c r="E128" s="11"/>
      <c r="F128" s="11"/>
      <c r="G128" s="11"/>
      <c r="H128" s="11"/>
      <c r="I128" s="10" t="s">
        <v>260</v>
      </c>
      <c r="J128" s="97">
        <v>1.3643968401892375</v>
      </c>
      <c r="K128" s="93" t="s">
        <v>8</v>
      </c>
      <c r="L128" s="3"/>
      <c r="U128" s="99"/>
    </row>
    <row r="129" spans="1:21" ht="20.100000000000001" customHeight="1">
      <c r="A129" s="9" t="s">
        <v>3</v>
      </c>
      <c r="B129" s="8" t="s">
        <v>261</v>
      </c>
      <c r="C129" s="8"/>
      <c r="D129" s="8"/>
      <c r="E129" s="8"/>
      <c r="F129" s="8"/>
      <c r="G129" s="8"/>
      <c r="H129" s="8"/>
      <c r="I129" s="7" t="s">
        <v>262</v>
      </c>
      <c r="J129" s="67">
        <v>0.4993626397773579</v>
      </c>
      <c r="K129" s="5" t="s">
        <v>87</v>
      </c>
      <c r="L129" s="3"/>
      <c r="U129" s="99"/>
    </row>
    <row r="130" spans="1:21" ht="20.100000000000001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3"/>
      <c r="U130" s="99"/>
    </row>
    <row r="131" spans="1:21" ht="20.100000000000001" customHeight="1">
      <c r="A131" s="75" t="str">
        <f>$A$124&amp;"."&amp;1</f>
        <v>C.4.1</v>
      </c>
      <c r="B131" s="12" t="s">
        <v>242</v>
      </c>
      <c r="C131" s="12"/>
      <c r="D131" s="12"/>
      <c r="E131" s="12"/>
      <c r="F131" s="12"/>
      <c r="G131" s="12"/>
      <c r="H131" s="12"/>
      <c r="I131" s="12"/>
      <c r="J131" s="12"/>
      <c r="K131" s="12"/>
      <c r="L131" s="3"/>
      <c r="U131" s="99"/>
    </row>
    <row r="132" spans="1:21" ht="20.100000000000001" customHeight="1">
      <c r="A132" s="9" t="s">
        <v>5</v>
      </c>
      <c r="B132" s="8" t="s">
        <v>243</v>
      </c>
      <c r="C132" s="8"/>
      <c r="D132" s="8"/>
      <c r="E132" s="8"/>
      <c r="F132" s="8"/>
      <c r="G132" s="8"/>
      <c r="H132" s="8"/>
      <c r="I132" s="7" t="s">
        <v>244</v>
      </c>
      <c r="J132" s="97">
        <v>2.4780972450961722</v>
      </c>
      <c r="K132" s="5" t="s">
        <v>87</v>
      </c>
      <c r="L132" s="3"/>
      <c r="U132" s="99"/>
    </row>
    <row r="133" spans="1:21" ht="20.100000000000001" customHeight="1">
      <c r="A133" s="9" t="s">
        <v>4</v>
      </c>
      <c r="B133" s="8" t="s">
        <v>245</v>
      </c>
      <c r="C133" s="8"/>
      <c r="D133" s="8"/>
      <c r="E133" s="8"/>
      <c r="F133" s="8"/>
      <c r="G133" s="8"/>
      <c r="H133" s="8"/>
      <c r="I133" s="7" t="s">
        <v>246</v>
      </c>
      <c r="J133" s="152">
        <v>1237.2237731143944</v>
      </c>
      <c r="K133" s="5" t="s">
        <v>82</v>
      </c>
      <c r="L133" s="3"/>
      <c r="U133" s="99"/>
    </row>
    <row r="134" spans="1:21" ht="20.100000000000001" customHeight="1">
      <c r="A134" s="9" t="s">
        <v>3</v>
      </c>
      <c r="B134" s="8" t="s">
        <v>286</v>
      </c>
      <c r="C134" s="8"/>
      <c r="D134" s="8"/>
      <c r="E134" s="8"/>
      <c r="F134" s="8"/>
      <c r="G134" s="8"/>
      <c r="H134" s="8"/>
      <c r="I134" s="7" t="s">
        <v>287</v>
      </c>
      <c r="J134" s="98">
        <v>87000.000000000029</v>
      </c>
      <c r="K134" s="5" t="s">
        <v>220</v>
      </c>
      <c r="L134" s="3"/>
      <c r="U134" s="99"/>
    </row>
    <row r="135" spans="1:21" ht="20.100000000000001" customHeight="1">
      <c r="A135" s="9" t="s">
        <v>7</v>
      </c>
      <c r="B135" s="8" t="s">
        <v>288</v>
      </c>
      <c r="C135" s="8"/>
      <c r="D135" s="8"/>
      <c r="E135" s="8"/>
      <c r="F135" s="8"/>
      <c r="G135" s="8"/>
      <c r="H135" s="8"/>
      <c r="I135" s="7" t="s">
        <v>289</v>
      </c>
      <c r="J135" s="151">
        <v>290000000.00000006</v>
      </c>
      <c r="K135" s="5" t="s">
        <v>290</v>
      </c>
      <c r="L135" s="3"/>
      <c r="U135" s="99"/>
    </row>
    <row r="136" spans="1:21" ht="20.100000000000001" customHeight="1">
      <c r="A136" s="9" t="s">
        <v>6</v>
      </c>
      <c r="B136" s="8" t="s">
        <v>247</v>
      </c>
      <c r="C136" s="8"/>
      <c r="D136" s="8"/>
      <c r="E136" s="8"/>
      <c r="F136" s="8"/>
      <c r="G136" s="8"/>
      <c r="H136" s="8"/>
      <c r="I136" s="7" t="s">
        <v>248</v>
      </c>
      <c r="J136" s="152">
        <v>19.194115301984201</v>
      </c>
      <c r="K136" s="5" t="s">
        <v>82</v>
      </c>
      <c r="L136" s="3"/>
      <c r="U136" s="99"/>
    </row>
    <row r="137" spans="1:21" ht="20.100000000000001" customHeight="1">
      <c r="A137" s="9" t="s">
        <v>32</v>
      </c>
      <c r="B137" s="8" t="s">
        <v>80</v>
      </c>
      <c r="C137" s="8"/>
      <c r="D137" s="8"/>
      <c r="E137" s="8"/>
      <c r="F137" s="8"/>
      <c r="G137" s="8"/>
      <c r="H137" s="8"/>
      <c r="I137" s="7" t="s">
        <v>81</v>
      </c>
      <c r="J137" s="62">
        <v>2764.1193545160336</v>
      </c>
      <c r="K137" s="5" t="s">
        <v>82</v>
      </c>
      <c r="L137" s="3"/>
      <c r="N137" s="119"/>
      <c r="O137" s="119"/>
      <c r="P137" s="119"/>
      <c r="Q137" s="119"/>
      <c r="R137" s="119"/>
      <c r="S137" s="119"/>
    </row>
    <row r="138" spans="1:21" ht="20.100000000000001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3"/>
      <c r="U138" s="99"/>
    </row>
    <row r="139" spans="1:21" ht="20.100000000000001" customHeight="1">
      <c r="A139" s="75" t="str">
        <f>$A$124&amp;"."&amp;2</f>
        <v>C.4.2</v>
      </c>
      <c r="B139" s="126" t="s">
        <v>251</v>
      </c>
      <c r="C139" s="126"/>
      <c r="D139" s="126"/>
      <c r="E139" s="126"/>
      <c r="F139" s="126"/>
      <c r="G139" s="126"/>
      <c r="H139" s="126"/>
      <c r="I139" s="126"/>
      <c r="J139" s="126"/>
      <c r="K139" s="126"/>
      <c r="L139" s="3"/>
      <c r="U139" s="99"/>
    </row>
    <row r="140" spans="1:21" ht="20.100000000000001" customHeight="1">
      <c r="A140" s="9" t="s">
        <v>5</v>
      </c>
      <c r="B140" s="8" t="s">
        <v>252</v>
      </c>
      <c r="C140" s="8"/>
      <c r="D140" s="8"/>
      <c r="E140" s="8"/>
      <c r="F140" s="8"/>
      <c r="G140" s="8"/>
      <c r="H140" s="8"/>
      <c r="I140" s="7" t="s">
        <v>253</v>
      </c>
      <c r="J140" s="67">
        <v>0.44601967435768941</v>
      </c>
      <c r="K140" s="5" t="s">
        <v>8</v>
      </c>
      <c r="L140" s="3"/>
      <c r="U140" s="99"/>
    </row>
    <row r="141" spans="1:21" ht="20.100000000000001" customHeight="1">
      <c r="A141" s="9" t="s">
        <v>4</v>
      </c>
      <c r="B141" s="8" t="s">
        <v>249</v>
      </c>
      <c r="C141" s="8"/>
      <c r="D141" s="8"/>
      <c r="E141" s="8"/>
      <c r="F141" s="8"/>
      <c r="G141" s="8"/>
      <c r="H141" s="8"/>
      <c r="I141" s="7" t="s">
        <v>250</v>
      </c>
      <c r="J141" s="62">
        <v>15671.472736640659</v>
      </c>
      <c r="K141" s="5" t="s">
        <v>82</v>
      </c>
      <c r="L141" s="3"/>
      <c r="U141" s="99"/>
    </row>
    <row r="142" spans="1:21" ht="20.100000000000001" customHeight="1">
      <c r="A142" s="9" t="s">
        <v>3</v>
      </c>
      <c r="B142" s="8" t="s">
        <v>85</v>
      </c>
      <c r="C142" s="8"/>
      <c r="D142" s="8"/>
      <c r="E142" s="8"/>
      <c r="F142" s="8"/>
      <c r="G142" s="8"/>
      <c r="H142" s="8"/>
      <c r="I142" s="82" t="s">
        <v>86</v>
      </c>
      <c r="J142" s="6">
        <v>1.1763790424146539</v>
      </c>
      <c r="K142" s="5" t="s">
        <v>87</v>
      </c>
      <c r="L142" s="3"/>
    </row>
    <row r="143" spans="1:21" ht="20.100000000000001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3"/>
      <c r="U143" s="99"/>
    </row>
    <row r="144" spans="1:21" ht="20.100000000000001" customHeight="1">
      <c r="A144" s="75" t="str">
        <f>$A$124&amp;"."&amp;3</f>
        <v>C.4.3</v>
      </c>
      <c r="B144" s="12" t="s">
        <v>254</v>
      </c>
      <c r="C144" s="12"/>
      <c r="D144" s="12"/>
      <c r="E144" s="12"/>
      <c r="F144" s="12"/>
      <c r="G144" s="12"/>
      <c r="H144" s="12"/>
      <c r="I144" s="12"/>
      <c r="J144" s="12"/>
      <c r="K144" s="12"/>
      <c r="L144" s="3"/>
      <c r="U144" s="99"/>
    </row>
    <row r="145" spans="1:21" ht="20.100000000000001" customHeight="1">
      <c r="A145" s="9" t="s">
        <v>5</v>
      </c>
      <c r="B145" s="8" t="s">
        <v>74</v>
      </c>
      <c r="C145" s="8"/>
      <c r="D145" s="8"/>
      <c r="E145" s="8"/>
      <c r="F145" s="8"/>
      <c r="G145" s="8"/>
      <c r="H145" s="8"/>
      <c r="I145" s="7" t="s">
        <v>75</v>
      </c>
      <c r="J145" s="62">
        <v>2068.2520235998149</v>
      </c>
      <c r="K145" s="5" t="s">
        <v>9</v>
      </c>
      <c r="L145" s="3"/>
      <c r="U145" s="101"/>
    </row>
    <row r="146" spans="1:21" ht="20.100000000000001" customHeight="1">
      <c r="A146" s="9" t="s">
        <v>4</v>
      </c>
      <c r="B146" s="8" t="s">
        <v>76</v>
      </c>
      <c r="C146" s="8"/>
      <c r="D146" s="8"/>
      <c r="E146" s="8"/>
      <c r="F146" s="8"/>
      <c r="G146" s="8"/>
      <c r="H146" s="8"/>
      <c r="I146" s="7" t="s">
        <v>77</v>
      </c>
      <c r="J146" s="62">
        <v>1356.7037834111798</v>
      </c>
      <c r="K146" s="5" t="s">
        <v>9</v>
      </c>
      <c r="L146" s="3"/>
      <c r="U146" s="101"/>
    </row>
    <row r="147" spans="1:21" ht="20.100000000000001" customHeight="1">
      <c r="A147" s="9" t="s">
        <v>3</v>
      </c>
      <c r="B147" s="8" t="s">
        <v>329</v>
      </c>
      <c r="C147" s="8"/>
      <c r="D147" s="8"/>
      <c r="E147" s="8"/>
      <c r="F147" s="8"/>
      <c r="G147" s="8"/>
      <c r="H147" s="8"/>
      <c r="I147" s="81" t="s">
        <v>330</v>
      </c>
      <c r="J147" s="62">
        <v>0</v>
      </c>
      <c r="K147" s="5" t="s">
        <v>9</v>
      </c>
      <c r="L147" s="3"/>
      <c r="U147" s="101"/>
    </row>
    <row r="148" spans="1:21" ht="20.100000000000001" customHeight="1">
      <c r="A148" s="9" t="s">
        <v>7</v>
      </c>
      <c r="B148" s="8" t="s">
        <v>83</v>
      </c>
      <c r="C148" s="8"/>
      <c r="D148" s="8"/>
      <c r="E148" s="8"/>
      <c r="F148" s="8"/>
      <c r="G148" s="8"/>
      <c r="H148" s="8"/>
      <c r="I148" s="81" t="s">
        <v>84</v>
      </c>
      <c r="J148" s="62">
        <v>-711.5482401886353</v>
      </c>
      <c r="K148" s="5" t="s">
        <v>9</v>
      </c>
      <c r="L148" s="3"/>
    </row>
    <row r="149" spans="1:21" ht="20.100000000000001" customHeight="1">
      <c r="A149" s="9" t="s">
        <v>6</v>
      </c>
      <c r="B149" s="8" t="s">
        <v>332</v>
      </c>
      <c r="C149" s="8"/>
      <c r="D149" s="8"/>
      <c r="E149" s="8"/>
      <c r="F149" s="8"/>
      <c r="G149" s="8"/>
      <c r="H149" s="8"/>
      <c r="I149" s="81" t="s">
        <v>333</v>
      </c>
      <c r="J149" s="62">
        <v>-711.5482401886353</v>
      </c>
      <c r="K149" s="5" t="s">
        <v>9</v>
      </c>
      <c r="L149" s="3"/>
    </row>
    <row r="150" spans="1:21" ht="20.100000000000001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3"/>
      <c r="U150" s="99"/>
    </row>
    <row r="151" spans="1:21" ht="20.100000000000001" customHeight="1">
      <c r="A151" s="75" t="str">
        <f>$A$124&amp;"."&amp;4</f>
        <v>C.4.4</v>
      </c>
      <c r="B151" s="12" t="s">
        <v>256</v>
      </c>
      <c r="C151" s="12"/>
      <c r="D151" s="12"/>
      <c r="E151" s="12"/>
      <c r="F151" s="12"/>
      <c r="G151" s="12"/>
      <c r="H151" s="12"/>
      <c r="I151" s="12"/>
      <c r="J151" s="12"/>
      <c r="K151" s="12"/>
      <c r="L151" s="3"/>
      <c r="U151" s="99"/>
    </row>
    <row r="152" spans="1:21" ht="20.100000000000001" customHeight="1">
      <c r="A152" s="9" t="s">
        <v>5</v>
      </c>
      <c r="B152" s="8" t="s">
        <v>88</v>
      </c>
      <c r="C152" s="8"/>
      <c r="D152" s="8"/>
      <c r="E152" s="8"/>
      <c r="F152" s="8"/>
      <c r="G152" s="8"/>
      <c r="H152" s="8"/>
      <c r="I152" s="81" t="s">
        <v>89</v>
      </c>
      <c r="J152" s="67">
        <v>7.0413088501444343E-2</v>
      </c>
      <c r="K152" s="5" t="s">
        <v>87</v>
      </c>
      <c r="L152" s="3"/>
    </row>
    <row r="153" spans="1:21" ht="20.100000000000001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3"/>
      <c r="U153" s="99"/>
    </row>
    <row r="154" spans="1:21" ht="20.100000000000001" customHeight="1">
      <c r="A154" s="75" t="str">
        <f>$A$124&amp;"."&amp;5</f>
        <v>C.4.5</v>
      </c>
      <c r="B154" s="12" t="s">
        <v>257</v>
      </c>
      <c r="C154" s="12"/>
      <c r="D154" s="12"/>
      <c r="E154" s="12"/>
      <c r="F154" s="12"/>
      <c r="G154" s="12"/>
      <c r="H154" s="12"/>
      <c r="I154" s="12"/>
      <c r="J154" s="12"/>
      <c r="K154" s="12"/>
      <c r="L154" s="3"/>
      <c r="M154" s="70" t="s">
        <v>235</v>
      </c>
      <c r="N154" s="78" t="s">
        <v>228</v>
      </c>
      <c r="O154" s="78">
        <v>1</v>
      </c>
      <c r="P154" s="78" t="s">
        <v>229</v>
      </c>
      <c r="Q154" s="78" t="s">
        <v>230</v>
      </c>
      <c r="R154" s="78" t="s">
        <v>231</v>
      </c>
      <c r="S154" s="78" t="s">
        <v>232</v>
      </c>
      <c r="U154" s="99"/>
    </row>
    <row r="155" spans="1:21" ht="20.100000000000001" customHeight="1">
      <c r="A155" s="9" t="s">
        <v>5</v>
      </c>
      <c r="B155" s="8" t="s">
        <v>223</v>
      </c>
      <c r="C155" s="8"/>
      <c r="D155" s="8"/>
      <c r="E155" s="8"/>
      <c r="F155" s="8"/>
      <c r="G155" s="8"/>
      <c r="H155" s="8"/>
      <c r="I155" s="7" t="s">
        <v>236</v>
      </c>
      <c r="J155" s="62">
        <v>1710.5339527007882</v>
      </c>
      <c r="K155" s="5" t="s">
        <v>224</v>
      </c>
      <c r="L155" s="3"/>
      <c r="M155" s="70" t="s">
        <v>234</v>
      </c>
      <c r="N155" s="102"/>
      <c r="O155" s="102"/>
      <c r="P155" s="102"/>
      <c r="Q155" s="102"/>
      <c r="R155" s="102"/>
      <c r="S155" s="122">
        <f>1/bolt.axial_stiffness</f>
        <v>5.846127745205436E-4</v>
      </c>
      <c r="T155" s="1" t="s">
        <v>226</v>
      </c>
      <c r="U155" s="99"/>
    </row>
    <row r="156" spans="1:21" ht="20.100000000000001" customHeight="1">
      <c r="A156" s="9" t="s">
        <v>4</v>
      </c>
      <c r="B156" s="8" t="s">
        <v>78</v>
      </c>
      <c r="C156" s="8"/>
      <c r="D156" s="8"/>
      <c r="E156" s="8"/>
      <c r="F156" s="8"/>
      <c r="G156" s="8"/>
      <c r="H156" s="8"/>
      <c r="I156" s="7" t="s">
        <v>238</v>
      </c>
      <c r="J156" s="62">
        <v>600.85776552878792</v>
      </c>
      <c r="K156" s="5" t="s">
        <v>79</v>
      </c>
      <c r="L156" s="3"/>
      <c r="M156" s="70" t="s">
        <v>233</v>
      </c>
      <c r="N156" s="120">
        <v>94.734999999999999</v>
      </c>
      <c r="O156" s="120">
        <v>780.97299999999996</v>
      </c>
      <c r="P156" s="120">
        <v>452.98</v>
      </c>
      <c r="Q156" s="120">
        <v>139.38</v>
      </c>
      <c r="R156" s="120">
        <v>75.787999999999997</v>
      </c>
      <c r="S156" s="121">
        <f>1/(bolt.bending_stiffness/1000000)</f>
        <v>1664.2873860837014</v>
      </c>
      <c r="T156" s="1" t="s">
        <v>225</v>
      </c>
      <c r="U156" s="99"/>
    </row>
    <row r="157" spans="1:21" ht="20.100000000000001" customHeight="1">
      <c r="A157" s="9" t="s">
        <v>3</v>
      </c>
      <c r="B157" s="8" t="s">
        <v>285</v>
      </c>
      <c r="C157" s="8"/>
      <c r="D157" s="8"/>
      <c r="E157" s="8"/>
      <c r="F157" s="8"/>
      <c r="G157" s="8"/>
      <c r="H157" s="8"/>
      <c r="I157" s="7" t="s">
        <v>221</v>
      </c>
      <c r="J157" s="62">
        <v>4344.0537979949813</v>
      </c>
      <c r="K157" s="5" t="s">
        <v>220</v>
      </c>
      <c r="L157" s="3"/>
      <c r="N157" s="133">
        <v>94.7</v>
      </c>
      <c r="O157" s="133">
        <v>781</v>
      </c>
      <c r="P157" s="133">
        <v>453</v>
      </c>
      <c r="Q157" s="133">
        <v>139</v>
      </c>
      <c r="R157" s="133">
        <v>75.8</v>
      </c>
      <c r="U157" s="99"/>
    </row>
    <row r="158" spans="1:21" ht="20.100000000000001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3"/>
      <c r="U158" s="99"/>
    </row>
    <row r="159" spans="1:21" ht="20.100000000000001" customHeight="1">
      <c r="A159" s="75" t="str">
        <f>$A$124&amp;"."&amp;6</f>
        <v>C.4.6</v>
      </c>
      <c r="B159" s="12" t="s">
        <v>241</v>
      </c>
      <c r="C159" s="12"/>
      <c r="D159" s="12"/>
      <c r="E159" s="12"/>
      <c r="F159" s="12"/>
      <c r="G159" s="12"/>
      <c r="H159" s="12"/>
      <c r="I159" s="12"/>
      <c r="J159" s="12"/>
      <c r="K159" s="12"/>
      <c r="L159" s="3"/>
      <c r="U159" s="99"/>
    </row>
    <row r="160" spans="1:21" ht="20.100000000000001" customHeight="1">
      <c r="A160" s="9" t="s">
        <v>5</v>
      </c>
      <c r="B160" s="11" t="s">
        <v>239</v>
      </c>
      <c r="C160" s="11"/>
      <c r="D160" s="11"/>
      <c r="E160" s="11"/>
      <c r="F160" s="11"/>
      <c r="G160" s="11"/>
      <c r="H160" s="11"/>
      <c r="I160" s="10" t="s">
        <v>240</v>
      </c>
      <c r="J160" s="92">
        <v>90</v>
      </c>
      <c r="K160" s="93" t="s">
        <v>217</v>
      </c>
      <c r="L160" s="3"/>
      <c r="U160" s="99"/>
    </row>
    <row r="161" spans="1:21" ht="20.100000000000001" customHeight="1">
      <c r="A161" s="9" t="s">
        <v>4</v>
      </c>
      <c r="B161" s="8" t="s">
        <v>72</v>
      </c>
      <c r="C161" s="8"/>
      <c r="D161" s="8"/>
      <c r="E161" s="8"/>
      <c r="F161" s="8"/>
      <c r="G161" s="8"/>
      <c r="H161" s="8"/>
      <c r="I161" s="7" t="s">
        <v>73</v>
      </c>
      <c r="J161" s="64">
        <v>225.55390100553569</v>
      </c>
      <c r="K161" s="5" t="s">
        <v>8</v>
      </c>
      <c r="L161" s="3"/>
      <c r="U161" s="100"/>
    </row>
    <row r="162" spans="1:21" ht="20.100000000000001" customHeight="1">
      <c r="A162" s="9" t="s">
        <v>3</v>
      </c>
      <c r="B162" s="8" t="s">
        <v>299</v>
      </c>
      <c r="C162" s="8"/>
      <c r="D162" s="8"/>
      <c r="E162" s="8"/>
      <c r="F162" s="8"/>
      <c r="G162" s="8"/>
      <c r="H162" s="8"/>
      <c r="I162" s="7" t="s">
        <v>298</v>
      </c>
      <c r="J162" s="64">
        <v>112.77695050276785</v>
      </c>
      <c r="K162" s="5" t="s">
        <v>8</v>
      </c>
      <c r="L162" s="3"/>
      <c r="U162" s="100"/>
    </row>
    <row r="163" spans="1:21" ht="20.100000000000001" customHeight="1">
      <c r="A163" s="9" t="s">
        <v>7</v>
      </c>
      <c r="B163" s="8" t="s">
        <v>300</v>
      </c>
      <c r="C163" s="8"/>
      <c r="D163" s="8"/>
      <c r="E163" s="8"/>
      <c r="F163" s="8"/>
      <c r="G163" s="8"/>
      <c r="H163" s="8"/>
      <c r="I163" s="7" t="s">
        <v>301</v>
      </c>
      <c r="J163" s="151">
        <v>129398710.74285959</v>
      </c>
      <c r="K163" s="5" t="s">
        <v>290</v>
      </c>
      <c r="L163" s="3"/>
      <c r="U163" s="100"/>
    </row>
    <row r="164" spans="1:21" ht="20.100000000000001" customHeight="1">
      <c r="A164" s="9" t="s">
        <v>6</v>
      </c>
      <c r="B164" s="8" t="s">
        <v>227</v>
      </c>
      <c r="C164" s="8"/>
      <c r="D164" s="8"/>
      <c r="E164" s="8"/>
      <c r="F164" s="8"/>
      <c r="G164" s="8"/>
      <c r="H164" s="8"/>
      <c r="I164" s="7" t="s">
        <v>237</v>
      </c>
      <c r="J164" s="92">
        <v>10310.000230734646</v>
      </c>
      <c r="K164" s="5" t="s">
        <v>224</v>
      </c>
      <c r="L164" s="3"/>
      <c r="N164" s="123"/>
      <c r="O164" s="123"/>
      <c r="P164" s="123"/>
      <c r="Q164" s="123"/>
      <c r="R164" s="123"/>
      <c r="S164" s="124"/>
    </row>
    <row r="165" spans="1:21" ht="20.100000000000001" customHeight="1">
      <c r="A165" s="9" t="s">
        <v>32</v>
      </c>
      <c r="B165" s="17" t="s">
        <v>90</v>
      </c>
      <c r="C165" s="17"/>
      <c r="D165" s="17"/>
      <c r="E165" s="17"/>
      <c r="F165" s="17"/>
      <c r="G165" s="17"/>
      <c r="H165" s="17"/>
      <c r="I165" s="83" t="s">
        <v>91</v>
      </c>
      <c r="J165" s="84">
        <v>1.2633304222622023E-2</v>
      </c>
      <c r="K165" s="15" t="s">
        <v>87</v>
      </c>
      <c r="L165" s="3"/>
    </row>
    <row r="166" spans="1:21" ht="20.100000000000001" customHeight="1">
      <c r="A166" s="9" t="s">
        <v>35</v>
      </c>
      <c r="B166" s="8" t="s">
        <v>92</v>
      </c>
      <c r="C166" s="8"/>
      <c r="D166" s="8"/>
      <c r="E166" s="8"/>
      <c r="F166" s="8"/>
      <c r="G166" s="8"/>
      <c r="H166" s="8"/>
      <c r="I166" s="7" t="s">
        <v>93</v>
      </c>
      <c r="J166" s="66">
        <v>0.27464739467891219</v>
      </c>
      <c r="K166" s="5" t="s">
        <v>87</v>
      </c>
      <c r="L166" s="3"/>
    </row>
    <row r="167" spans="1:21" ht="20.100000000000001" customHeight="1">
      <c r="A167" s="9"/>
      <c r="B167" s="58"/>
      <c r="C167" s="58"/>
      <c r="D167" s="58"/>
      <c r="E167" s="58"/>
      <c r="F167" s="58"/>
      <c r="G167" s="58"/>
      <c r="H167" s="58"/>
      <c r="I167" s="59"/>
      <c r="J167" s="125"/>
      <c r="K167" s="60"/>
      <c r="L167" s="3"/>
    </row>
    <row r="168" spans="1:21" ht="20.100000000000001" customHeight="1">
      <c r="A168" s="9"/>
      <c r="B168" s="58"/>
      <c r="C168" s="58"/>
      <c r="D168" s="58"/>
      <c r="E168" s="58"/>
      <c r="F168" s="58"/>
      <c r="G168" s="58"/>
      <c r="H168" s="58"/>
      <c r="I168" s="59"/>
      <c r="J168" s="125"/>
      <c r="K168" s="60"/>
      <c r="L168" s="3"/>
    </row>
    <row r="169" spans="1:21" ht="20.100000000000001" customHeight="1">
      <c r="A169" s="9"/>
      <c r="B169" s="58"/>
      <c r="C169" s="58"/>
      <c r="D169" s="58"/>
      <c r="E169" s="58"/>
      <c r="F169" s="58"/>
      <c r="G169" s="58"/>
      <c r="H169" s="58"/>
      <c r="I169" s="59"/>
      <c r="J169" s="125"/>
      <c r="K169" s="60"/>
      <c r="L169" s="3"/>
    </row>
    <row r="170" spans="1:21" ht="20.100000000000001" customHeight="1">
      <c r="A170" s="9"/>
      <c r="B170" s="58"/>
      <c r="C170" s="58"/>
      <c r="D170" s="58"/>
      <c r="E170" s="58"/>
      <c r="F170" s="58"/>
      <c r="G170" s="58"/>
      <c r="H170" s="58"/>
      <c r="I170" s="59"/>
      <c r="J170" s="125"/>
      <c r="K170" s="60"/>
      <c r="L170" s="3"/>
    </row>
    <row r="171" spans="1:21" ht="20.100000000000001" customHeight="1">
      <c r="A171" s="9"/>
      <c r="B171" s="58"/>
      <c r="C171" s="58"/>
      <c r="D171" s="58"/>
      <c r="E171" s="58"/>
      <c r="F171" s="58"/>
      <c r="G171" s="58"/>
      <c r="H171" s="58"/>
      <c r="I171" s="59"/>
      <c r="J171" s="125"/>
      <c r="K171" s="60"/>
      <c r="L171" s="3"/>
    </row>
    <row r="172" spans="1:21" ht="20.100000000000001" customHeight="1">
      <c r="A172" s="9"/>
      <c r="B172" s="58"/>
      <c r="C172" s="58"/>
      <c r="D172" s="58"/>
      <c r="E172" s="58"/>
      <c r="F172" s="58"/>
      <c r="G172" s="58"/>
      <c r="H172" s="58"/>
      <c r="I172" s="59"/>
      <c r="J172" s="125"/>
      <c r="K172" s="60"/>
      <c r="L172" s="3"/>
    </row>
    <row r="173" spans="1:21" ht="20.100000000000001" customHeight="1">
      <c r="A173" s="9"/>
      <c r="B173" s="58"/>
      <c r="C173" s="58"/>
      <c r="D173" s="58"/>
      <c r="E173" s="58"/>
      <c r="F173" s="58"/>
      <c r="G173" s="58"/>
      <c r="H173" s="58"/>
      <c r="I173" s="59"/>
      <c r="J173" s="125"/>
      <c r="K173" s="60"/>
      <c r="L173" s="3"/>
    </row>
    <row r="174" spans="1:21" ht="20.100000000000001" customHeight="1">
      <c r="A174" s="9"/>
      <c r="B174" s="58"/>
      <c r="C174" s="58"/>
      <c r="D174" s="58"/>
      <c r="E174" s="58"/>
      <c r="F174" s="58"/>
      <c r="G174" s="58"/>
      <c r="H174" s="58"/>
      <c r="I174" s="59"/>
      <c r="J174" s="63"/>
      <c r="K174" s="60"/>
      <c r="L174" s="3"/>
    </row>
    <row r="175" spans="1:21" ht="20.100000000000001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3"/>
    </row>
    <row r="176" spans="1:21" ht="20.100000000000001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3"/>
    </row>
    <row r="180" spans="2:4" ht="13.2">
      <c r="B180" s="69"/>
      <c r="C180" s="69"/>
      <c r="D180" s="69"/>
    </row>
  </sheetData>
  <mergeCells count="20">
    <mergeCell ref="B28:K28"/>
    <mergeCell ref="B16:C16"/>
    <mergeCell ref="D16:K16"/>
    <mergeCell ref="B17:C17"/>
    <mergeCell ref="D17:K17"/>
    <mergeCell ref="B18:C18"/>
    <mergeCell ref="D18:K18"/>
    <mergeCell ref="B15:C15"/>
    <mergeCell ref="D15:K15"/>
    <mergeCell ref="A3:K3"/>
    <mergeCell ref="B4:G4"/>
    <mergeCell ref="B5:G5"/>
    <mergeCell ref="B6:G6"/>
    <mergeCell ref="B7:G7"/>
    <mergeCell ref="B8:G8"/>
    <mergeCell ref="B9:G9"/>
    <mergeCell ref="B13:C13"/>
    <mergeCell ref="D13:K13"/>
    <mergeCell ref="B14:C14"/>
    <mergeCell ref="D14:K14"/>
  </mergeCells>
  <conditionalFormatting sqref="K64">
    <cfRule type="cellIs" dxfId="21" priority="3" stopIfTrue="1" operator="between">
      <formula>0</formula>
      <formula>1</formula>
    </cfRule>
  </conditionalFormatting>
  <conditionalFormatting sqref="K94">
    <cfRule type="cellIs" dxfId="20" priority="2" stopIfTrue="1" operator="between">
      <formula>0</formula>
      <formula>1</formula>
    </cfRule>
  </conditionalFormatting>
  <conditionalFormatting sqref="K124">
    <cfRule type="cellIs" dxfId="19" priority="1" stopIfTrue="1" operator="between">
      <formula>0</formula>
      <formula>1</formula>
    </cfRule>
  </conditionalFormatting>
  <printOptions horizontalCentered="1"/>
  <pageMargins left="0.75" right="0.75" top="0.75" bottom="0.5" header="0.3" footer="0.3"/>
  <pageSetup paperSize="9" scale="80" fitToHeight="0" orientation="portrait" r:id="rId1"/>
  <headerFooter>
    <oddHeader>&amp;L&amp;G&amp;C&amp;"Consolas,Bold"&amp;10&amp;K00-047TITLE&amp;R&amp;"Consolas,Bold"&amp;10&amp;K00-048Rev. X</oddHeader>
    <oddFooter>&amp;R&amp;"Consolas,Bold"&amp;10&amp;K00-048Page &amp;P of &amp;N</oddFooter>
  </headerFooter>
  <drawing r:id="rId2"/>
  <legacyDrawingHF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9E5628-E027-45B9-83BA-5E9D788819D8}">
  <sheetPr codeName="Sheet4">
    <pageSetUpPr fitToPage="1"/>
  </sheetPr>
  <dimension ref="A1:DJ180"/>
  <sheetViews>
    <sheetView showGridLines="0" zoomScaleNormal="100" workbookViewId="0">
      <pane ySplit="1" topLeftCell="A78" activePane="bottomLeft" state="frozen"/>
      <selection pane="bottomLeft" activeCell="K114" sqref="K114"/>
    </sheetView>
  </sheetViews>
  <sheetFormatPr defaultColWidth="8.6640625" defaultRowHeight="20.100000000000001" customHeight="1" outlineLevelRow="1"/>
  <cols>
    <col min="1" max="11" width="9.6640625" style="2" customWidth="1"/>
    <col min="12" max="12" width="2.6640625" style="1" customWidth="1"/>
    <col min="13" max="13" width="6.6640625" style="1" customWidth="1"/>
    <col min="14" max="19" width="8.6640625" style="1" customWidth="1"/>
    <col min="20" max="16384" width="8.6640625" style="1"/>
  </cols>
  <sheetData>
    <row r="1" spans="1:15" s="52" customFormat="1" ht="20.100000000000001" customHeight="1">
      <c r="A1" s="57"/>
      <c r="B1" s="56" t="s">
        <v>20</v>
      </c>
      <c r="C1" s="56"/>
      <c r="D1" s="56"/>
      <c r="E1" s="56"/>
      <c r="F1" s="56"/>
      <c r="G1" s="56"/>
      <c r="H1" s="55"/>
      <c r="I1" s="55"/>
      <c r="J1" s="54" t="s">
        <v>19</v>
      </c>
      <c r="K1" s="53" t="s">
        <v>18</v>
      </c>
    </row>
    <row r="2" spans="1:15" ht="20.100000000000001" hidden="1" customHeight="1" outlineLevel="1">
      <c r="A2" s="51"/>
      <c r="B2" s="51"/>
      <c r="C2" s="1"/>
      <c r="D2" s="50"/>
      <c r="E2" s="50"/>
      <c r="F2" s="50"/>
      <c r="G2" s="50"/>
      <c r="H2" s="50"/>
      <c r="I2" s="50"/>
      <c r="J2" s="49"/>
      <c r="K2" s="48"/>
    </row>
    <row r="3" spans="1:15" ht="54.75" hidden="1" customHeight="1" outlineLevel="1">
      <c r="A3" s="162" t="s">
        <v>17</v>
      </c>
      <c r="B3" s="163"/>
      <c r="C3" s="163"/>
      <c r="D3" s="163"/>
      <c r="E3" s="163"/>
      <c r="F3" s="163"/>
      <c r="G3" s="163"/>
      <c r="H3" s="163"/>
      <c r="I3" s="163"/>
      <c r="J3" s="163"/>
      <c r="K3" s="163"/>
    </row>
    <row r="4" spans="1:15" s="46" customFormat="1" ht="20.100000000000001" hidden="1" customHeight="1" outlineLevel="1">
      <c r="A4" s="47" t="s">
        <v>16</v>
      </c>
      <c r="B4" s="164" t="s">
        <v>15</v>
      </c>
      <c r="C4" s="164"/>
      <c r="D4" s="164"/>
      <c r="E4" s="164"/>
      <c r="F4" s="164"/>
      <c r="G4" s="164"/>
      <c r="H4" s="47" t="s">
        <v>14</v>
      </c>
      <c r="I4" s="47" t="s">
        <v>13</v>
      </c>
      <c r="J4" s="47" t="s">
        <v>12</v>
      </c>
      <c r="K4" s="47" t="s">
        <v>11</v>
      </c>
    </row>
    <row r="5" spans="1:15" s="41" customFormat="1" ht="20.100000000000001" hidden="1" customHeight="1" outlineLevel="1">
      <c r="A5" s="45"/>
      <c r="B5" s="156"/>
      <c r="C5" s="157"/>
      <c r="D5" s="157"/>
      <c r="E5" s="157"/>
      <c r="F5" s="157"/>
      <c r="G5" s="158"/>
      <c r="H5" s="44"/>
      <c r="I5" s="43"/>
      <c r="J5" s="43"/>
      <c r="K5" s="42"/>
    </row>
    <row r="6" spans="1:15" s="41" customFormat="1" ht="20.100000000000001" hidden="1" customHeight="1" outlineLevel="1">
      <c r="A6" s="45"/>
      <c r="B6" s="156"/>
      <c r="C6" s="157"/>
      <c r="D6" s="157"/>
      <c r="E6" s="157"/>
      <c r="F6" s="157"/>
      <c r="G6" s="158"/>
      <c r="H6" s="44"/>
      <c r="I6" s="43"/>
      <c r="J6" s="43"/>
      <c r="K6" s="42"/>
    </row>
    <row r="7" spans="1:15" s="41" customFormat="1" ht="20.100000000000001" hidden="1" customHeight="1" outlineLevel="1">
      <c r="A7" s="45"/>
      <c r="B7" s="156"/>
      <c r="C7" s="157"/>
      <c r="D7" s="157"/>
      <c r="E7" s="157"/>
      <c r="F7" s="157"/>
      <c r="G7" s="158"/>
      <c r="H7" s="44"/>
      <c r="I7" s="43"/>
      <c r="J7" s="43"/>
      <c r="K7" s="42"/>
    </row>
    <row r="8" spans="1:15" s="41" customFormat="1" ht="20.100000000000001" hidden="1" customHeight="1" outlineLevel="1">
      <c r="A8" s="45"/>
      <c r="B8" s="156"/>
      <c r="C8" s="157"/>
      <c r="D8" s="157"/>
      <c r="E8" s="157"/>
      <c r="F8" s="157"/>
      <c r="G8" s="158"/>
      <c r="H8" s="44"/>
      <c r="I8" s="43"/>
      <c r="J8" s="43"/>
      <c r="K8" s="42"/>
    </row>
    <row r="9" spans="1:15" s="41" customFormat="1" ht="20.100000000000001" hidden="1" customHeight="1" outlineLevel="1">
      <c r="A9" s="45"/>
      <c r="B9" s="156"/>
      <c r="C9" s="157"/>
      <c r="D9" s="157"/>
      <c r="E9" s="157"/>
      <c r="F9" s="157"/>
      <c r="G9" s="158"/>
      <c r="H9" s="44"/>
      <c r="I9" s="43"/>
      <c r="J9" s="43"/>
      <c r="K9" s="42"/>
    </row>
    <row r="10" spans="1:15" ht="20.100000000000001" hidden="1" customHeight="1" outlineLevel="1">
      <c r="B10" s="40"/>
      <c r="J10" s="39"/>
      <c r="K10" s="38"/>
    </row>
    <row r="11" spans="1:15" s="34" customFormat="1" ht="39.9" customHeight="1" collapsed="1" thickBot="1">
      <c r="A11" s="37" t="s">
        <v>94</v>
      </c>
      <c r="B11" s="37" t="s">
        <v>294</v>
      </c>
      <c r="C11" s="37"/>
      <c r="D11" s="37"/>
      <c r="E11" s="37"/>
      <c r="F11" s="37"/>
      <c r="G11" s="37"/>
      <c r="H11" s="37"/>
      <c r="I11" s="37"/>
      <c r="J11" s="37"/>
      <c r="K11" s="36"/>
      <c r="L11" s="35"/>
      <c r="M11" s="25"/>
      <c r="N11" s="25"/>
      <c r="O11" s="25"/>
    </row>
    <row r="12" spans="1:15" ht="20.100000000000001" customHeight="1" thickTop="1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3"/>
    </row>
    <row r="13" spans="1:15" s="85" customFormat="1" ht="20.100000000000001" customHeight="1" outlineLevel="1">
      <c r="A13" s="87"/>
      <c r="B13" s="159" t="s">
        <v>102</v>
      </c>
      <c r="C13" s="159"/>
      <c r="D13" s="161" t="str">
        <f>Gap30deg!D13</f>
        <v>SP2200052</v>
      </c>
      <c r="E13" s="161"/>
      <c r="F13" s="161"/>
      <c r="G13" s="161"/>
      <c r="H13" s="161"/>
      <c r="I13" s="161"/>
      <c r="J13" s="161"/>
      <c r="K13" s="161"/>
      <c r="L13" s="86"/>
    </row>
    <row r="14" spans="1:15" s="85" customFormat="1" ht="20.100000000000001" customHeight="1" outlineLevel="1">
      <c r="A14" s="87"/>
      <c r="B14" s="159" t="s">
        <v>101</v>
      </c>
      <c r="C14" s="159"/>
      <c r="D14" s="161" t="str">
        <f>Gap30deg!D14</f>
        <v>Stichting GROW</v>
      </c>
      <c r="E14" s="161"/>
      <c r="F14" s="161"/>
      <c r="G14" s="161"/>
      <c r="H14" s="161"/>
      <c r="I14" s="161"/>
      <c r="J14" s="161"/>
      <c r="K14" s="161"/>
      <c r="L14" s="86"/>
    </row>
    <row r="15" spans="1:15" s="85" customFormat="1" ht="20.100000000000001" customHeight="1" outlineLevel="1">
      <c r="A15" s="87"/>
      <c r="B15" s="159" t="s">
        <v>100</v>
      </c>
      <c r="C15" s="159"/>
      <c r="D15" s="161" t="str">
        <f>Gap30deg!D15</f>
        <v>Bolt and Beautiful</v>
      </c>
      <c r="E15" s="161"/>
      <c r="F15" s="161"/>
      <c r="G15" s="161"/>
      <c r="H15" s="161"/>
      <c r="I15" s="161"/>
      <c r="J15" s="161"/>
      <c r="K15" s="161"/>
      <c r="L15" s="86"/>
    </row>
    <row r="16" spans="1:15" s="85" customFormat="1" ht="20.100000000000001" customHeight="1" outlineLevel="1">
      <c r="A16" s="87"/>
      <c r="B16" s="159" t="s">
        <v>99</v>
      </c>
      <c r="C16" s="159"/>
      <c r="D16" s="161" t="str">
        <f>Title</f>
        <v>Flange Segment Analytical Model for 120° gap size</v>
      </c>
      <c r="E16" s="161"/>
      <c r="F16" s="161"/>
      <c r="G16" s="161"/>
      <c r="H16" s="161"/>
      <c r="I16" s="161"/>
      <c r="J16" s="161"/>
      <c r="K16" s="161"/>
      <c r="L16" s="86"/>
      <c r="M16" s="88"/>
    </row>
    <row r="17" spans="1:22" s="85" customFormat="1" ht="20.100000000000001" customHeight="1" outlineLevel="1">
      <c r="A17" s="87"/>
      <c r="B17" s="159" t="s">
        <v>98</v>
      </c>
      <c r="C17" s="159"/>
      <c r="D17" s="161" t="str">
        <f>Gap30deg!D17</f>
        <v>0.10</v>
      </c>
      <c r="E17" s="161"/>
      <c r="F17" s="161"/>
      <c r="G17" s="161"/>
      <c r="H17" s="161"/>
      <c r="I17" s="161"/>
      <c r="J17" s="161"/>
      <c r="K17" s="161"/>
      <c r="L17" s="86"/>
    </row>
    <row r="18" spans="1:22" s="85" customFormat="1" ht="20.100000000000001" customHeight="1" outlineLevel="1">
      <c r="A18" s="87"/>
      <c r="B18" s="159" t="s">
        <v>97</v>
      </c>
      <c r="C18" s="159"/>
      <c r="D18" s="160">
        <f>Gap30deg!D18</f>
        <v>45432</v>
      </c>
      <c r="E18" s="160"/>
      <c r="F18" s="160"/>
      <c r="G18" s="160"/>
      <c r="H18" s="160"/>
      <c r="I18" s="160"/>
      <c r="J18" s="160"/>
      <c r="K18" s="160"/>
      <c r="L18" s="86"/>
    </row>
    <row r="19" spans="1:22" s="85" customFormat="1" ht="20.100000000000001" customHeight="1" outlineLevel="1">
      <c r="A19" s="87"/>
      <c r="B19" s="87"/>
      <c r="C19" s="87"/>
      <c r="D19" s="87"/>
      <c r="E19" s="87"/>
      <c r="F19" s="87"/>
      <c r="G19" s="87"/>
      <c r="H19" s="87"/>
      <c r="I19" s="87"/>
      <c r="J19" s="87"/>
      <c r="K19" s="87"/>
      <c r="L19" s="86"/>
    </row>
    <row r="20" spans="1:22" s="85" customFormat="1" ht="20.100000000000001" customHeight="1">
      <c r="A20" s="87"/>
      <c r="B20" s="87"/>
      <c r="C20" s="87"/>
      <c r="D20" s="87"/>
      <c r="E20" s="87"/>
      <c r="F20" s="87"/>
      <c r="G20" s="87"/>
      <c r="H20" s="87"/>
      <c r="I20" s="87"/>
      <c r="J20" s="87"/>
      <c r="K20" s="87"/>
      <c r="L20" s="86"/>
    </row>
    <row r="21" spans="1:22" ht="20.100000000000001" customHeight="1" thickBot="1">
      <c r="A21" s="14" t="str">
        <f>$A$11&amp;"."&amp;1</f>
        <v>D.1</v>
      </c>
      <c r="B21" s="14" t="s">
        <v>21</v>
      </c>
      <c r="C21" s="14"/>
      <c r="D21" s="14"/>
      <c r="E21" s="14"/>
      <c r="F21" s="14"/>
      <c r="G21" s="14"/>
      <c r="H21" s="14"/>
      <c r="I21" s="14"/>
      <c r="J21" s="14"/>
      <c r="K21" s="14"/>
      <c r="L21" s="3"/>
    </row>
    <row r="22" spans="1:22" ht="20.100000000000001" customHeight="1" outlineLevel="1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3"/>
    </row>
    <row r="23" spans="1:22" s="18" customFormat="1" ht="20.100000000000001" customHeight="1" outlineLevel="1">
      <c r="A23" s="21"/>
      <c r="B23" s="28"/>
      <c r="C23" s="27"/>
      <c r="D23" s="27"/>
      <c r="E23" s="27"/>
      <c r="F23" s="27"/>
      <c r="G23" s="27"/>
      <c r="H23" s="27"/>
      <c r="I23" s="27"/>
      <c r="J23" s="27"/>
      <c r="K23" s="26"/>
      <c r="L23" s="20"/>
      <c r="M23" s="25" t="s">
        <v>10</v>
      </c>
      <c r="N23" s="25"/>
      <c r="O23" s="25"/>
      <c r="P23" s="25"/>
      <c r="Q23" s="25"/>
      <c r="R23" s="25"/>
      <c r="S23" s="25"/>
      <c r="T23" s="25"/>
      <c r="U23" s="25"/>
      <c r="V23" s="25"/>
    </row>
    <row r="24" spans="1:22" s="18" customFormat="1" ht="20.100000000000001" customHeight="1" outlineLevel="1">
      <c r="A24" s="21"/>
      <c r="B24" s="24"/>
      <c r="C24" s="23"/>
      <c r="D24" s="23"/>
      <c r="E24" s="23"/>
      <c r="F24" s="23"/>
      <c r="G24" s="23"/>
      <c r="H24" s="23"/>
      <c r="I24" s="23"/>
      <c r="J24" s="23"/>
      <c r="K24" s="22"/>
      <c r="L24" s="20"/>
      <c r="M24" s="19"/>
      <c r="N24" s="19"/>
      <c r="O24" s="19"/>
      <c r="P24" s="19"/>
      <c r="Q24" s="19"/>
      <c r="R24" s="19"/>
      <c r="S24" s="19"/>
      <c r="T24" s="19"/>
      <c r="U24" s="19"/>
      <c r="V24" s="19"/>
    </row>
    <row r="25" spans="1:22" s="18" customFormat="1" ht="20.100000000000001" customHeight="1" outlineLevel="1">
      <c r="A25" s="21"/>
      <c r="B25" s="24"/>
      <c r="C25" s="23"/>
      <c r="D25" s="23"/>
      <c r="E25" s="23"/>
      <c r="F25" s="23"/>
      <c r="G25" s="23"/>
      <c r="H25" s="23"/>
      <c r="I25" s="23"/>
      <c r="J25" s="23"/>
      <c r="K25" s="22"/>
      <c r="L25" s="20"/>
      <c r="M25" s="19"/>
      <c r="N25" s="19"/>
      <c r="O25" s="19"/>
      <c r="P25" s="19"/>
      <c r="Q25" s="19"/>
      <c r="R25" s="19"/>
      <c r="S25" s="19"/>
      <c r="T25" s="19"/>
      <c r="U25" s="19"/>
      <c r="V25" s="19"/>
    </row>
    <row r="26" spans="1:22" s="18" customFormat="1" ht="20.100000000000001" customHeight="1" outlineLevel="1">
      <c r="A26" s="21"/>
      <c r="B26" s="24"/>
      <c r="C26" s="23"/>
      <c r="D26" s="23"/>
      <c r="E26" s="23"/>
      <c r="F26" s="23"/>
      <c r="G26" s="23"/>
      <c r="H26" s="23"/>
      <c r="I26" s="23"/>
      <c r="J26" s="23"/>
      <c r="K26" s="22"/>
      <c r="L26" s="20"/>
      <c r="M26" s="19"/>
      <c r="N26" s="19"/>
      <c r="O26" s="19"/>
      <c r="P26" s="19"/>
      <c r="Q26" s="19"/>
      <c r="R26" s="19"/>
      <c r="S26" s="19"/>
      <c r="T26" s="19"/>
      <c r="U26" s="19"/>
      <c r="V26" s="19"/>
    </row>
    <row r="27" spans="1:22" s="18" customFormat="1" ht="20.100000000000001" customHeight="1" outlineLevel="1">
      <c r="A27" s="21"/>
      <c r="B27" s="24"/>
      <c r="C27" s="23"/>
      <c r="D27" s="23"/>
      <c r="E27" s="23"/>
      <c r="F27" s="23"/>
      <c r="G27" s="23"/>
      <c r="H27" s="23"/>
      <c r="I27" s="23"/>
      <c r="J27" s="23"/>
      <c r="K27" s="22"/>
      <c r="L27" s="20"/>
      <c r="M27" s="19"/>
      <c r="N27" s="19"/>
      <c r="O27" s="19"/>
      <c r="P27" s="19"/>
      <c r="Q27" s="19"/>
      <c r="R27" s="19"/>
      <c r="S27" s="19"/>
      <c r="T27" s="19"/>
      <c r="U27" s="19"/>
      <c r="V27" s="19"/>
    </row>
    <row r="28" spans="1:22" s="18" customFormat="1" ht="20.100000000000001" customHeight="1" outlineLevel="1">
      <c r="A28" s="21"/>
      <c r="B28" s="166"/>
      <c r="C28" s="167"/>
      <c r="D28" s="167"/>
      <c r="E28" s="167"/>
      <c r="F28" s="167"/>
      <c r="G28" s="167"/>
      <c r="H28" s="167"/>
      <c r="I28" s="167"/>
      <c r="J28" s="167"/>
      <c r="K28" s="168"/>
      <c r="L28" s="20"/>
      <c r="M28" s="19"/>
      <c r="N28" s="19"/>
      <c r="O28" s="19"/>
      <c r="P28" s="19"/>
      <c r="Q28" s="19"/>
      <c r="R28" s="19"/>
      <c r="S28" s="19"/>
      <c r="T28" s="19"/>
      <c r="U28" s="19"/>
      <c r="V28" s="19"/>
    </row>
    <row r="29" spans="1:22" s="18" customFormat="1" ht="20.100000000000001" customHeight="1" outlineLevel="1">
      <c r="A29" s="21"/>
      <c r="B29" s="24"/>
      <c r="C29" s="23"/>
      <c r="D29" s="23"/>
      <c r="E29" s="23"/>
      <c r="F29" s="23"/>
      <c r="G29" s="23"/>
      <c r="H29" s="23"/>
      <c r="I29" s="23"/>
      <c r="J29" s="23"/>
      <c r="K29" s="22"/>
      <c r="L29" s="20"/>
      <c r="M29" s="19"/>
      <c r="N29" s="19"/>
      <c r="O29" s="19"/>
      <c r="P29" s="19"/>
      <c r="Q29" s="19"/>
      <c r="R29" s="19"/>
      <c r="S29" s="19"/>
      <c r="T29" s="19"/>
      <c r="U29" s="19"/>
      <c r="V29" s="19"/>
    </row>
    <row r="30" spans="1:22" s="18" customFormat="1" ht="20.100000000000001" customHeight="1" outlineLevel="1">
      <c r="A30" s="21"/>
      <c r="B30" s="24"/>
      <c r="C30" s="23"/>
      <c r="D30" s="23"/>
      <c r="E30" s="23"/>
      <c r="F30" s="23"/>
      <c r="G30" s="23"/>
      <c r="H30" s="23"/>
      <c r="I30" s="23"/>
      <c r="J30" s="23"/>
      <c r="K30" s="22"/>
      <c r="L30" s="20"/>
      <c r="M30" s="19"/>
      <c r="N30" s="19"/>
      <c r="O30" s="19"/>
      <c r="P30" s="19"/>
      <c r="Q30" s="19"/>
      <c r="R30" s="19"/>
      <c r="S30" s="19"/>
      <c r="T30" s="19"/>
      <c r="U30" s="19"/>
      <c r="V30" s="19"/>
    </row>
    <row r="31" spans="1:22" s="18" customFormat="1" ht="20.100000000000001" customHeight="1" outlineLevel="1">
      <c r="A31" s="21"/>
      <c r="B31" s="24"/>
      <c r="C31" s="23"/>
      <c r="D31" s="23"/>
      <c r="E31" s="23"/>
      <c r="F31" s="23"/>
      <c r="G31" s="23"/>
      <c r="H31" s="23"/>
      <c r="I31" s="23"/>
      <c r="J31" s="23"/>
      <c r="K31" s="22"/>
      <c r="L31" s="20"/>
      <c r="M31" s="19"/>
      <c r="N31" s="19"/>
      <c r="O31" s="19"/>
      <c r="P31" s="19"/>
      <c r="Q31" s="19"/>
      <c r="R31" s="19"/>
      <c r="S31" s="19"/>
      <c r="T31" s="19"/>
      <c r="U31" s="19"/>
      <c r="V31" s="19"/>
    </row>
    <row r="32" spans="1:22" s="18" customFormat="1" ht="20.100000000000001" customHeight="1" outlineLevel="1">
      <c r="A32" s="21"/>
      <c r="B32" s="24"/>
      <c r="C32" s="23"/>
      <c r="D32" s="23"/>
      <c r="E32" s="23"/>
      <c r="F32" s="23"/>
      <c r="G32" s="23"/>
      <c r="H32" s="23"/>
      <c r="I32" s="23"/>
      <c r="J32" s="23"/>
      <c r="K32" s="22"/>
      <c r="L32" s="20"/>
      <c r="M32" s="19"/>
      <c r="N32" s="19"/>
      <c r="O32" s="19"/>
      <c r="P32" s="19"/>
      <c r="Q32" s="19"/>
      <c r="R32" s="19"/>
      <c r="S32" s="19"/>
      <c r="T32" s="19"/>
      <c r="U32" s="19"/>
      <c r="V32" s="19"/>
    </row>
    <row r="33" spans="1:22" s="18" customFormat="1" ht="20.100000000000001" customHeight="1" outlineLevel="1">
      <c r="A33" s="21"/>
      <c r="B33" s="89"/>
      <c r="C33" s="90"/>
      <c r="D33" s="90"/>
      <c r="E33" s="90"/>
      <c r="F33" s="90"/>
      <c r="G33" s="90"/>
      <c r="H33" s="90"/>
      <c r="I33" s="90"/>
      <c r="J33" s="90"/>
      <c r="K33" s="91"/>
      <c r="L33" s="20"/>
      <c r="M33" s="19"/>
      <c r="N33" s="19"/>
      <c r="O33" s="19"/>
      <c r="P33" s="19"/>
      <c r="Q33" s="19"/>
      <c r="R33" s="19"/>
      <c r="S33" s="19"/>
      <c r="T33" s="19"/>
      <c r="U33" s="19"/>
      <c r="V33" s="19"/>
    </row>
    <row r="34" spans="1:22" s="18" customFormat="1" ht="20.100000000000001" customHeight="1" outlineLevel="1">
      <c r="A34" s="21"/>
      <c r="B34" s="23"/>
      <c r="C34" s="23"/>
      <c r="D34" s="23"/>
      <c r="E34" s="23"/>
      <c r="F34" s="23"/>
      <c r="G34" s="23"/>
      <c r="H34" s="23"/>
      <c r="I34" s="23"/>
      <c r="J34" s="23"/>
      <c r="K34" s="23"/>
      <c r="L34" s="20"/>
      <c r="M34" s="19"/>
      <c r="N34" s="19"/>
      <c r="O34" s="19"/>
      <c r="P34" s="19"/>
      <c r="Q34" s="19"/>
      <c r="R34" s="19"/>
      <c r="S34" s="19"/>
      <c r="T34" s="19"/>
      <c r="U34" s="19"/>
      <c r="V34" s="19"/>
    </row>
    <row r="35" spans="1:22" s="18" customFormat="1" ht="20.100000000000001" customHeight="1" outlineLevel="1">
      <c r="A35" s="95" t="str">
        <f>$A$21&amp;"."&amp;1</f>
        <v>D.1.1</v>
      </c>
      <c r="B35" s="12" t="s">
        <v>106</v>
      </c>
      <c r="C35" s="94"/>
      <c r="D35" s="94"/>
      <c r="E35" s="94"/>
      <c r="F35" s="94"/>
      <c r="G35" s="94"/>
      <c r="H35" s="94"/>
      <c r="I35" s="94"/>
      <c r="J35" s="94"/>
      <c r="K35" s="94"/>
      <c r="L35" s="20"/>
      <c r="M35" s="19"/>
      <c r="N35" s="19"/>
      <c r="O35" s="19"/>
      <c r="P35" s="19"/>
      <c r="Q35" s="19"/>
      <c r="R35" s="19"/>
      <c r="S35" s="19"/>
      <c r="T35" s="19"/>
      <c r="U35" s="19"/>
      <c r="V35" s="19"/>
    </row>
    <row r="36" spans="1:22" ht="20.100000000000001" customHeight="1" outlineLevel="1">
      <c r="A36" s="9" t="s">
        <v>5</v>
      </c>
      <c r="B36" s="11" t="s">
        <v>22</v>
      </c>
      <c r="C36" s="11"/>
      <c r="D36" s="11"/>
      <c r="E36" s="11"/>
      <c r="F36" s="11"/>
      <c r="G36" s="11"/>
      <c r="H36" s="11"/>
      <c r="I36" s="10" t="s">
        <v>23</v>
      </c>
      <c r="J36" s="92">
        <v>232.5</v>
      </c>
      <c r="K36" s="93" t="s">
        <v>8</v>
      </c>
      <c r="L36" s="3"/>
    </row>
    <row r="37" spans="1:22" ht="20.100000000000001" customHeight="1" outlineLevel="1">
      <c r="A37" s="9" t="s">
        <v>4</v>
      </c>
      <c r="B37" s="8" t="s">
        <v>24</v>
      </c>
      <c r="C37" s="8"/>
      <c r="D37" s="8"/>
      <c r="E37" s="8"/>
      <c r="F37" s="8"/>
      <c r="G37" s="8"/>
      <c r="H37" s="8"/>
      <c r="I37" s="7" t="s">
        <v>25</v>
      </c>
      <c r="J37" s="62">
        <v>166.5</v>
      </c>
      <c r="K37" s="5" t="s">
        <v>8</v>
      </c>
      <c r="L37" s="3"/>
    </row>
    <row r="38" spans="1:22" ht="20.100000000000001" customHeight="1" outlineLevel="1">
      <c r="A38" s="9" t="s">
        <v>4</v>
      </c>
      <c r="B38" s="8" t="s">
        <v>26</v>
      </c>
      <c r="C38" s="8"/>
      <c r="D38" s="8"/>
      <c r="E38" s="8"/>
      <c r="F38" s="8"/>
      <c r="G38" s="8"/>
      <c r="H38" s="8"/>
      <c r="I38" s="7" t="s">
        <v>27</v>
      </c>
      <c r="J38" s="62">
        <v>72</v>
      </c>
      <c r="K38" s="5" t="s">
        <v>8</v>
      </c>
      <c r="L38" s="3"/>
    </row>
    <row r="39" spans="1:22" ht="20.100000000000001" customHeight="1" outlineLevel="1">
      <c r="A39" s="9" t="s">
        <v>3</v>
      </c>
      <c r="B39" s="8" t="s">
        <v>28</v>
      </c>
      <c r="C39" s="8"/>
      <c r="D39" s="8"/>
      <c r="E39" s="8"/>
      <c r="F39" s="8"/>
      <c r="G39" s="8"/>
      <c r="H39" s="8"/>
      <c r="I39" s="7" t="s">
        <v>29</v>
      </c>
      <c r="J39" s="62">
        <v>200</v>
      </c>
      <c r="K39" s="5" t="s">
        <v>8</v>
      </c>
      <c r="L39" s="3"/>
    </row>
    <row r="40" spans="1:22" ht="20.100000000000001" customHeight="1" outlineLevel="1">
      <c r="A40" s="9" t="s">
        <v>7</v>
      </c>
      <c r="B40" s="8" t="s">
        <v>302</v>
      </c>
      <c r="C40" s="8"/>
      <c r="D40" s="8"/>
      <c r="E40" s="8"/>
      <c r="F40" s="8"/>
      <c r="G40" s="8"/>
      <c r="H40" s="8"/>
      <c r="I40" s="7" t="s">
        <v>303</v>
      </c>
      <c r="J40" s="62">
        <v>3</v>
      </c>
      <c r="K40" s="5" t="s">
        <v>217</v>
      </c>
      <c r="L40" s="3"/>
    </row>
    <row r="41" spans="1:22" ht="20.100000000000001" customHeight="1" outlineLevel="1">
      <c r="A41" s="9" t="s">
        <v>6</v>
      </c>
      <c r="B41" s="8" t="s">
        <v>297</v>
      </c>
      <c r="C41" s="8"/>
      <c r="D41" s="8"/>
      <c r="E41" s="8"/>
      <c r="F41" s="8"/>
      <c r="G41" s="8"/>
      <c r="H41" s="8"/>
      <c r="I41" s="7" t="s">
        <v>31</v>
      </c>
      <c r="J41" s="62">
        <v>3750</v>
      </c>
      <c r="K41" s="5" t="s">
        <v>8</v>
      </c>
      <c r="L41" s="3"/>
    </row>
    <row r="42" spans="1:22" ht="20.100000000000001" customHeight="1" outlineLevel="1">
      <c r="A42" s="9" t="s">
        <v>32</v>
      </c>
      <c r="B42" s="17" t="s">
        <v>326</v>
      </c>
      <c r="C42" s="17"/>
      <c r="D42" s="17"/>
      <c r="E42" s="17"/>
      <c r="F42" s="17"/>
      <c r="G42" s="17"/>
      <c r="H42" s="17"/>
      <c r="I42" s="16" t="s">
        <v>33</v>
      </c>
      <c r="J42" s="64">
        <v>-123.29166666666667</v>
      </c>
      <c r="K42" s="15" t="s">
        <v>9</v>
      </c>
      <c r="L42" s="3"/>
    </row>
    <row r="43" spans="1:22" ht="20.100000000000001" customHeight="1" outlineLevel="1">
      <c r="A43" s="9" t="s">
        <v>35</v>
      </c>
      <c r="B43" s="17" t="s">
        <v>52</v>
      </c>
      <c r="C43" s="17"/>
      <c r="D43" s="17"/>
      <c r="E43" s="17"/>
      <c r="F43" s="17"/>
      <c r="G43" s="17"/>
      <c r="H43" s="17"/>
      <c r="I43" s="16" t="s">
        <v>54</v>
      </c>
      <c r="J43" s="64">
        <v>210</v>
      </c>
      <c r="K43" s="15" t="s">
        <v>56</v>
      </c>
      <c r="L43" s="3"/>
    </row>
    <row r="44" spans="1:22" ht="20.100000000000001" customHeight="1" outlineLevel="1">
      <c r="A44" s="9" t="s">
        <v>36</v>
      </c>
      <c r="B44" s="8" t="s">
        <v>53</v>
      </c>
      <c r="C44" s="8"/>
      <c r="D44" s="8"/>
      <c r="E44" s="8"/>
      <c r="F44" s="8"/>
      <c r="G44" s="8"/>
      <c r="H44" s="8"/>
      <c r="I44" s="7" t="s">
        <v>55</v>
      </c>
      <c r="J44" s="62">
        <v>80.77</v>
      </c>
      <c r="K44" s="5" t="s">
        <v>56</v>
      </c>
      <c r="L44" s="3"/>
    </row>
    <row r="45" spans="1:22" ht="20.100000000000001" customHeight="1" outlineLevel="1">
      <c r="A45" s="9"/>
      <c r="B45" s="58"/>
      <c r="C45" s="58"/>
      <c r="D45" s="58"/>
      <c r="E45" s="58"/>
      <c r="F45" s="58"/>
      <c r="G45" s="58"/>
      <c r="H45" s="58"/>
      <c r="I45" s="59"/>
      <c r="J45" s="96"/>
      <c r="K45" s="60"/>
      <c r="L45" s="3"/>
    </row>
    <row r="46" spans="1:22" ht="20.100000000000001" customHeight="1" outlineLevel="1">
      <c r="A46" s="95" t="str">
        <f>$A$21&amp;"."&amp;2</f>
        <v>D.1.2</v>
      </c>
      <c r="B46" s="12" t="s">
        <v>107</v>
      </c>
      <c r="C46" s="94"/>
      <c r="D46" s="94"/>
      <c r="E46" s="94"/>
      <c r="F46" s="94"/>
      <c r="G46" s="94"/>
      <c r="H46" s="94"/>
      <c r="I46" s="94"/>
      <c r="J46" s="94"/>
      <c r="K46" s="94"/>
      <c r="L46" s="3"/>
    </row>
    <row r="47" spans="1:22" ht="20.100000000000001" customHeight="1" outlineLevel="1">
      <c r="A47" s="9" t="s">
        <v>5</v>
      </c>
      <c r="B47" s="8" t="s">
        <v>109</v>
      </c>
      <c r="C47" s="8"/>
      <c r="D47" s="8"/>
      <c r="E47" s="8"/>
      <c r="F47" s="8"/>
      <c r="G47" s="8"/>
      <c r="H47" s="8"/>
      <c r="I47" s="7"/>
      <c r="J47" s="61" t="s">
        <v>42</v>
      </c>
      <c r="K47" s="5"/>
      <c r="L47" s="3"/>
    </row>
    <row r="48" spans="1:22" ht="20.100000000000001" customHeight="1" outlineLevel="1">
      <c r="A48" s="9" t="s">
        <v>4</v>
      </c>
      <c r="B48" s="8" t="s">
        <v>109</v>
      </c>
      <c r="C48" s="8"/>
      <c r="D48" s="8"/>
      <c r="E48" s="8"/>
      <c r="F48" s="8"/>
      <c r="G48" s="8"/>
      <c r="H48" s="8"/>
      <c r="I48" s="7" t="s">
        <v>112</v>
      </c>
      <c r="J48" s="61">
        <v>80</v>
      </c>
      <c r="K48" s="5" t="s">
        <v>8</v>
      </c>
      <c r="L48" s="3"/>
    </row>
    <row r="49" spans="1:12" ht="20.100000000000001" customHeight="1" outlineLevel="1">
      <c r="A49" s="9" t="s">
        <v>3</v>
      </c>
      <c r="B49" s="8" t="s">
        <v>110</v>
      </c>
      <c r="C49" s="8"/>
      <c r="D49" s="8"/>
      <c r="E49" s="8"/>
      <c r="F49" s="8"/>
      <c r="G49" s="8"/>
      <c r="H49" s="8"/>
      <c r="I49" s="7" t="s">
        <v>113</v>
      </c>
      <c r="J49" s="61">
        <v>76.099999999999994</v>
      </c>
      <c r="K49" s="5" t="s">
        <v>8</v>
      </c>
      <c r="L49" s="3"/>
    </row>
    <row r="50" spans="1:12" ht="20.100000000000001" customHeight="1" outlineLevel="1">
      <c r="A50" s="9" t="s">
        <v>7</v>
      </c>
      <c r="B50" s="8" t="s">
        <v>111</v>
      </c>
      <c r="C50" s="8"/>
      <c r="D50" s="8"/>
      <c r="E50" s="8"/>
      <c r="F50" s="8"/>
      <c r="G50" s="8"/>
      <c r="H50" s="8"/>
      <c r="I50" s="7" t="s">
        <v>114</v>
      </c>
      <c r="J50" s="61">
        <v>0.27</v>
      </c>
      <c r="K50" s="5" t="s">
        <v>8</v>
      </c>
      <c r="L50" s="3"/>
    </row>
    <row r="51" spans="1:12" ht="20.100000000000001" customHeight="1" outlineLevel="1">
      <c r="A51" s="9" t="s">
        <v>6</v>
      </c>
      <c r="B51" s="8" t="s">
        <v>39</v>
      </c>
      <c r="C51" s="8"/>
      <c r="D51" s="8"/>
      <c r="E51" s="8"/>
      <c r="F51" s="8"/>
      <c r="G51" s="8"/>
      <c r="H51" s="8"/>
      <c r="I51" s="7" t="s">
        <v>41</v>
      </c>
      <c r="J51" s="61">
        <v>6</v>
      </c>
      <c r="K51" s="5" t="s">
        <v>8</v>
      </c>
      <c r="L51" s="3"/>
    </row>
    <row r="52" spans="1:12" ht="20.100000000000001" customHeight="1" outlineLevel="1">
      <c r="A52" s="9" t="s">
        <v>32</v>
      </c>
      <c r="B52" s="8" t="s">
        <v>115</v>
      </c>
      <c r="C52" s="8"/>
      <c r="D52" s="8"/>
      <c r="E52" s="8"/>
      <c r="F52" s="8"/>
      <c r="G52" s="8"/>
      <c r="H52" s="8"/>
      <c r="I52" s="7" t="s">
        <v>117</v>
      </c>
      <c r="J52" s="61">
        <v>900</v>
      </c>
      <c r="K52" s="15" t="s">
        <v>96</v>
      </c>
      <c r="L52" s="3"/>
    </row>
    <row r="53" spans="1:12" ht="20.100000000000001" customHeight="1" outlineLevel="1">
      <c r="A53" s="9" t="s">
        <v>35</v>
      </c>
      <c r="B53" s="17" t="s">
        <v>116</v>
      </c>
      <c r="C53" s="17"/>
      <c r="D53" s="17"/>
      <c r="E53" s="17"/>
      <c r="F53" s="17"/>
      <c r="G53" s="17"/>
      <c r="H53" s="17"/>
      <c r="I53" s="16" t="s">
        <v>118</v>
      </c>
      <c r="J53" s="65">
        <v>1000</v>
      </c>
      <c r="K53" s="15" t="s">
        <v>96</v>
      </c>
      <c r="L53" s="3"/>
    </row>
    <row r="54" spans="1:12" ht="20.100000000000001" customHeight="1" outlineLevel="1">
      <c r="A54" s="9" t="s">
        <v>36</v>
      </c>
      <c r="B54" s="17" t="s">
        <v>119</v>
      </c>
      <c r="C54" s="17"/>
      <c r="D54" s="17"/>
      <c r="E54" s="17"/>
      <c r="F54" s="17"/>
      <c r="G54" s="17"/>
      <c r="H54" s="17"/>
      <c r="I54" s="16" t="s">
        <v>54</v>
      </c>
      <c r="J54" s="65">
        <v>210</v>
      </c>
      <c r="K54" s="15" t="s">
        <v>56</v>
      </c>
      <c r="L54" s="3"/>
    </row>
    <row r="55" spans="1:12" ht="20.100000000000001" customHeight="1" outlineLevel="1">
      <c r="A55" s="9" t="s">
        <v>37</v>
      </c>
      <c r="B55" s="17" t="s">
        <v>34</v>
      </c>
      <c r="C55" s="17"/>
      <c r="D55" s="17"/>
      <c r="E55" s="17"/>
      <c r="F55" s="17"/>
      <c r="G55" s="17"/>
      <c r="H55" s="17"/>
      <c r="I55" s="16" t="s">
        <v>38</v>
      </c>
      <c r="J55" s="65">
        <v>2876</v>
      </c>
      <c r="K55" s="15" t="s">
        <v>9</v>
      </c>
      <c r="L55" s="3"/>
    </row>
    <row r="56" spans="1:12" ht="20.100000000000001" customHeight="1" outlineLevel="1">
      <c r="A56" s="9" t="s">
        <v>40</v>
      </c>
      <c r="B56" s="8" t="s">
        <v>43</v>
      </c>
      <c r="C56" s="8"/>
      <c r="D56" s="8"/>
      <c r="E56" s="8"/>
      <c r="F56" s="8"/>
      <c r="G56" s="8"/>
      <c r="H56" s="8"/>
      <c r="I56" s="7" t="s">
        <v>49</v>
      </c>
      <c r="J56" s="62">
        <v>86</v>
      </c>
      <c r="K56" s="5" t="s">
        <v>8</v>
      </c>
      <c r="L56" s="3"/>
    </row>
    <row r="57" spans="1:12" ht="20.100000000000001" customHeight="1" outlineLevel="1">
      <c r="A57" s="9" t="s">
        <v>51</v>
      </c>
      <c r="B57" s="8" t="s">
        <v>44</v>
      </c>
      <c r="C57" s="8"/>
      <c r="D57" s="8"/>
      <c r="E57" s="8"/>
      <c r="F57" s="8"/>
      <c r="G57" s="8"/>
      <c r="H57" s="8"/>
      <c r="I57" s="7" t="s">
        <v>50</v>
      </c>
      <c r="J57" s="62">
        <v>140</v>
      </c>
      <c r="K57" s="5" t="s">
        <v>8</v>
      </c>
      <c r="L57" s="3"/>
    </row>
    <row r="58" spans="1:12" ht="20.100000000000001" customHeight="1" outlineLevel="1">
      <c r="A58" s="9"/>
      <c r="B58" s="58"/>
      <c r="C58" s="58"/>
      <c r="D58" s="58"/>
      <c r="E58" s="58"/>
      <c r="F58" s="58"/>
      <c r="G58" s="58"/>
      <c r="H58" s="58"/>
      <c r="I58" s="59"/>
      <c r="J58" s="96"/>
      <c r="K58" s="60"/>
      <c r="L58" s="3"/>
    </row>
    <row r="59" spans="1:12" ht="20.100000000000001" customHeight="1" outlineLevel="1">
      <c r="A59" s="95" t="str">
        <f>$A$21&amp;"."&amp;3</f>
        <v>D.1.3</v>
      </c>
      <c r="B59" s="12" t="s">
        <v>108</v>
      </c>
      <c r="C59" s="94"/>
      <c r="D59" s="94"/>
      <c r="E59" s="94"/>
      <c r="F59" s="94"/>
      <c r="G59" s="94"/>
      <c r="H59" s="94"/>
      <c r="I59" s="94"/>
      <c r="J59" s="94"/>
      <c r="K59" s="94"/>
      <c r="L59" s="3"/>
    </row>
    <row r="60" spans="1:12" ht="20.100000000000001" customHeight="1" outlineLevel="1">
      <c r="A60" s="9" t="s">
        <v>5</v>
      </c>
      <c r="B60" s="11" t="s">
        <v>45</v>
      </c>
      <c r="C60" s="11"/>
      <c r="D60" s="11"/>
      <c r="E60" s="11"/>
      <c r="F60" s="11"/>
      <c r="G60" s="11"/>
      <c r="H60" s="11"/>
      <c r="I60" s="10" t="s">
        <v>48</v>
      </c>
      <c r="J60" s="97">
        <v>3.9552630780086138</v>
      </c>
      <c r="K60" s="93" t="s">
        <v>8</v>
      </c>
      <c r="L60" s="3"/>
    </row>
    <row r="61" spans="1:12" ht="20.100000000000001" customHeight="1" outlineLevel="1">
      <c r="A61" s="9" t="s">
        <v>4</v>
      </c>
      <c r="B61" s="8" t="s">
        <v>46</v>
      </c>
      <c r="C61" s="8"/>
      <c r="D61" s="8"/>
      <c r="E61" s="8"/>
      <c r="F61" s="8"/>
      <c r="G61" s="8"/>
      <c r="H61" s="8"/>
      <c r="I61" s="7" t="s">
        <v>47</v>
      </c>
      <c r="J61" s="98">
        <v>7853.9816339744821</v>
      </c>
      <c r="K61" s="5" t="s">
        <v>8</v>
      </c>
      <c r="L61" s="3"/>
    </row>
    <row r="62" spans="1:12" ht="20.100000000000001" customHeight="1" outlineLevel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3"/>
    </row>
    <row r="63" spans="1:12" ht="20.100000000000001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3"/>
    </row>
    <row r="64" spans="1:12" ht="20.100000000000001" customHeight="1" thickBot="1">
      <c r="A64" s="14" t="str">
        <f>$A$11&amp;"."&amp;2</f>
        <v>D.2</v>
      </c>
      <c r="B64" s="14" t="s">
        <v>57</v>
      </c>
      <c r="C64" s="14"/>
      <c r="D64" s="14"/>
      <c r="E64" s="14"/>
      <c r="F64" s="14"/>
      <c r="G64" s="14"/>
      <c r="H64" s="14"/>
      <c r="I64" s="14"/>
      <c r="J64" s="14"/>
      <c r="K64" s="13"/>
      <c r="L64" s="3"/>
    </row>
    <row r="65" spans="1:114" ht="20.100000000000001" customHeight="1" outlineLevel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3"/>
    </row>
    <row r="66" spans="1:114" ht="20.100000000000001" customHeight="1" outlineLevel="1">
      <c r="A66" s="4"/>
      <c r="B66" s="33"/>
      <c r="C66" s="32"/>
      <c r="D66" s="32"/>
      <c r="E66" s="32"/>
      <c r="F66" s="32"/>
      <c r="G66" s="32"/>
      <c r="H66" s="32"/>
      <c r="I66" s="32"/>
      <c r="J66" s="32"/>
      <c r="K66" s="31"/>
      <c r="L66" s="3"/>
      <c r="N66" s="70" t="s">
        <v>120</v>
      </c>
      <c r="O66" s="71">
        <v>-845.10761972322143</v>
      </c>
      <c r="P66" s="71">
        <v>-820.22712853514986</v>
      </c>
      <c r="Q66" s="71">
        <v>-795.3466373470784</v>
      </c>
      <c r="R66" s="71">
        <v>-770.46614615900683</v>
      </c>
      <c r="S66" s="71">
        <v>-745.58565497093548</v>
      </c>
      <c r="T66" s="71">
        <v>-720.70516378286391</v>
      </c>
      <c r="U66" s="71">
        <v>-695.82467259479245</v>
      </c>
      <c r="V66" s="71">
        <v>-670.94418140672087</v>
      </c>
      <c r="W66" s="71">
        <v>-646.06369021864941</v>
      </c>
      <c r="X66" s="71">
        <v>-621.18319903057795</v>
      </c>
      <c r="Y66" s="71">
        <v>-596.30270784250649</v>
      </c>
      <c r="Z66" s="71">
        <v>-571.42221665443492</v>
      </c>
      <c r="AA66" s="71">
        <v>-546.54172546636335</v>
      </c>
      <c r="AB66" s="71">
        <v>-521.66123427829189</v>
      </c>
      <c r="AC66" s="71">
        <v>-496.78074309022043</v>
      </c>
      <c r="AD66" s="71">
        <v>-471.90025190214897</v>
      </c>
      <c r="AE66" s="71">
        <v>-447.01976071407745</v>
      </c>
      <c r="AF66" s="71">
        <v>-422.13926952600593</v>
      </c>
      <c r="AG66" s="71">
        <v>-397.25877833793447</v>
      </c>
      <c r="AH66" s="71">
        <v>-372.37828714986296</v>
      </c>
      <c r="AI66" s="71">
        <v>-347.4977959617915</v>
      </c>
      <c r="AJ66" s="71">
        <v>-322.61730477371998</v>
      </c>
      <c r="AK66" s="71">
        <v>-297.73681358564841</v>
      </c>
      <c r="AL66" s="71">
        <v>-272.856322397577</v>
      </c>
      <c r="AM66" s="71">
        <v>-247.97583120950543</v>
      </c>
      <c r="AN66" s="71">
        <v>-223.095340021434</v>
      </c>
      <c r="AO66" s="71">
        <v>-198.21484883336245</v>
      </c>
      <c r="AP66" s="71">
        <v>-173.33435764529102</v>
      </c>
      <c r="AQ66" s="71">
        <v>-148.45386645721948</v>
      </c>
      <c r="AR66" s="71">
        <v>-123.57337526914803</v>
      </c>
      <c r="AS66" s="71">
        <v>-98.692884081076485</v>
      </c>
      <c r="AT66" s="71">
        <v>-73.81239289300504</v>
      </c>
      <c r="AU66" s="71">
        <v>-48.931901704933495</v>
      </c>
      <c r="AV66" s="71">
        <v>-24.051410516861942</v>
      </c>
      <c r="AW66" s="71">
        <v>0.82908067120949269</v>
      </c>
      <c r="AX66" s="71">
        <v>25.709571859281045</v>
      </c>
      <c r="AY66" s="71">
        <v>50.59006304735248</v>
      </c>
      <c r="AZ66" s="71">
        <v>75.470554235424032</v>
      </c>
      <c r="BA66" s="71">
        <v>100.35104542349546</v>
      </c>
      <c r="BB66" s="71">
        <v>125.23153661156702</v>
      </c>
      <c r="BC66" s="71">
        <v>150.11202779963844</v>
      </c>
      <c r="BD66" s="71">
        <v>174.99251898771001</v>
      </c>
      <c r="BE66" s="71">
        <v>199.87301017578145</v>
      </c>
      <c r="BF66" s="71">
        <v>224.75350136385288</v>
      </c>
      <c r="BG66" s="71">
        <v>249.63399255192454</v>
      </c>
      <c r="BH66" s="71">
        <v>274.51448373999597</v>
      </c>
      <c r="BI66" s="71">
        <v>299.39497492806743</v>
      </c>
      <c r="BJ66" s="71">
        <v>324.27546611613883</v>
      </c>
      <c r="BK66" s="71">
        <v>349.15595730421052</v>
      </c>
      <c r="BL66" s="71">
        <v>374.03644849228198</v>
      </c>
      <c r="BM66" s="71">
        <v>398.91693968035338</v>
      </c>
      <c r="BN66" s="71">
        <v>423.79743086842507</v>
      </c>
      <c r="BO66" s="71">
        <v>448.67792205649647</v>
      </c>
      <c r="BP66" s="71">
        <v>473.55841324456793</v>
      </c>
      <c r="BQ66" s="71">
        <v>498.43890443263939</v>
      </c>
      <c r="BR66" s="71">
        <v>523.31939562071102</v>
      </c>
      <c r="BS66" s="71">
        <v>548.19988680878248</v>
      </c>
      <c r="BT66" s="71">
        <v>573.08037799685394</v>
      </c>
      <c r="BU66" s="71">
        <v>597.96086918492529</v>
      </c>
      <c r="BV66" s="71">
        <v>622.84136037299697</v>
      </c>
      <c r="BW66" s="71">
        <v>647.72185156106843</v>
      </c>
      <c r="BX66" s="71">
        <v>672.60234274913989</v>
      </c>
      <c r="BY66" s="71">
        <v>697.48283393721135</v>
      </c>
      <c r="BZ66" s="71">
        <v>722.36332512528293</v>
      </c>
      <c r="CA66" s="71">
        <v>747.24381631335439</v>
      </c>
      <c r="CB66" s="71">
        <v>772.12430750142585</v>
      </c>
      <c r="CC66" s="71">
        <v>797.00479868949753</v>
      </c>
      <c r="CD66" s="71">
        <v>821.88528987756899</v>
      </c>
      <c r="CE66" s="71">
        <v>846.76578106564034</v>
      </c>
      <c r="CF66" s="71">
        <v>871.6462722537118</v>
      </c>
      <c r="CG66" s="71">
        <v>896.52676344178349</v>
      </c>
      <c r="CH66" s="71">
        <v>921.40725462985495</v>
      </c>
      <c r="CI66" s="71">
        <v>946.28774581792641</v>
      </c>
      <c r="CJ66" s="71">
        <v>971.16823700599775</v>
      </c>
      <c r="CK66" s="71">
        <v>996.04872819406944</v>
      </c>
      <c r="CL66" s="71">
        <v>1020.9292193821409</v>
      </c>
      <c r="CM66" s="71">
        <v>1045.8097105702122</v>
      </c>
      <c r="CN66" s="71">
        <v>1070.6902017582836</v>
      </c>
      <c r="CO66" s="71">
        <v>1095.5706929463554</v>
      </c>
      <c r="CP66" s="71">
        <v>1120.451184134427</v>
      </c>
      <c r="CQ66" s="71">
        <v>1145.3316753224981</v>
      </c>
      <c r="CR66" s="71">
        <v>1170.2121665105699</v>
      </c>
      <c r="CS66" s="71">
        <v>1195.0926576986415</v>
      </c>
      <c r="CT66" s="71">
        <v>1219.9731488867128</v>
      </c>
      <c r="CU66" s="71">
        <v>1244.8536400747844</v>
      </c>
      <c r="CV66" s="71">
        <v>1269.7341312628562</v>
      </c>
      <c r="CW66" s="71">
        <v>1294.6146224509273</v>
      </c>
      <c r="CX66" s="71">
        <v>1319.4951136389989</v>
      </c>
      <c r="CY66" s="71">
        <v>1344.3756048270707</v>
      </c>
      <c r="CZ66" s="71">
        <v>1369.2560960151418</v>
      </c>
      <c r="DA66" s="71">
        <v>1394.1365872032134</v>
      </c>
      <c r="DB66" s="71">
        <v>1419.0170783912852</v>
      </c>
      <c r="DC66" s="71">
        <v>1443.8975695793563</v>
      </c>
      <c r="DD66" s="71">
        <v>1468.7780607674281</v>
      </c>
      <c r="DE66" s="71">
        <v>1493.6585519554992</v>
      </c>
      <c r="DF66" s="71">
        <v>1518.5390431435708</v>
      </c>
      <c r="DG66" s="71">
        <v>1543.4195343316426</v>
      </c>
      <c r="DH66" s="71">
        <v>1568.3000255197137</v>
      </c>
      <c r="DI66" s="71">
        <v>1593.1805167077855</v>
      </c>
      <c r="DJ66" s="71">
        <v>1618.0610078958568</v>
      </c>
    </row>
    <row r="67" spans="1:114" ht="20.100000000000001" customHeight="1" outlineLevel="1">
      <c r="A67" s="4"/>
      <c r="B67" s="30"/>
      <c r="C67" s="4"/>
      <c r="D67" s="4"/>
      <c r="E67" s="4"/>
      <c r="F67" s="4"/>
      <c r="G67" s="4"/>
      <c r="H67" s="4"/>
      <c r="I67" s="4"/>
      <c r="J67" s="4"/>
      <c r="K67" s="29"/>
      <c r="L67" s="3"/>
      <c r="N67" s="70" t="s">
        <v>121</v>
      </c>
      <c r="O67" s="71">
        <v>2873.767947418442</v>
      </c>
      <c r="P67" s="71">
        <v>2873.767947418442</v>
      </c>
      <c r="Q67" s="71">
        <v>2873.7683826794096</v>
      </c>
      <c r="R67" s="71">
        <v>2873.7736327106772</v>
      </c>
      <c r="S67" s="71">
        <v>2873.7848315218521</v>
      </c>
      <c r="T67" s="71">
        <v>2873.8019791129345</v>
      </c>
      <c r="U67" s="71">
        <v>2873.8250754839237</v>
      </c>
      <c r="V67" s="71">
        <v>2873.8541206348204</v>
      </c>
      <c r="W67" s="71">
        <v>2873.8891145656239</v>
      </c>
      <c r="X67" s="71">
        <v>2873.930057276335</v>
      </c>
      <c r="Y67" s="71">
        <v>2873.9769487669532</v>
      </c>
      <c r="Z67" s="71">
        <v>2874.0297890374791</v>
      </c>
      <c r="AA67" s="71">
        <v>2874.0885780879121</v>
      </c>
      <c r="AB67" s="71">
        <v>2874.1533159182518</v>
      </c>
      <c r="AC67" s="71">
        <v>2874.2240025284996</v>
      </c>
      <c r="AD67" s="71">
        <v>2874.3006379186536</v>
      </c>
      <c r="AE67" s="71">
        <v>2874.3832220887152</v>
      </c>
      <c r="AF67" s="71">
        <v>2874.471755038684</v>
      </c>
      <c r="AG67" s="71">
        <v>2874.5662367685604</v>
      </c>
      <c r="AH67" s="71">
        <v>2874.666667278344</v>
      </c>
      <c r="AI67" s="71">
        <v>2874.7730465680343</v>
      </c>
      <c r="AJ67" s="71">
        <v>2874.8853746376321</v>
      </c>
      <c r="AK67" s="71">
        <v>2875.0036514871372</v>
      </c>
      <c r="AL67" s="71">
        <v>2875.1278771165494</v>
      </c>
      <c r="AM67" s="71">
        <v>2875.2580515258687</v>
      </c>
      <c r="AN67" s="71">
        <v>2875.3941747150957</v>
      </c>
      <c r="AO67" s="71">
        <v>2875.5362466842294</v>
      </c>
      <c r="AP67" s="71">
        <v>2875.6842674332706</v>
      </c>
      <c r="AQ67" s="71">
        <v>2875.8382369622191</v>
      </c>
      <c r="AR67" s="71">
        <v>2875.9981552710747</v>
      </c>
      <c r="AS67" s="71">
        <v>2876.3158030931095</v>
      </c>
      <c r="AT67" s="71">
        <v>2876.949933922223</v>
      </c>
      <c r="AU67" s="71">
        <v>2877.900567664673</v>
      </c>
      <c r="AV67" s="71">
        <v>2879.1677043204613</v>
      </c>
      <c r="AW67" s="71">
        <v>2880.7513438895871</v>
      </c>
      <c r="AX67" s="71">
        <v>2882.6514863720499</v>
      </c>
      <c r="AY67" s="71">
        <v>2884.8681317678502</v>
      </c>
      <c r="AZ67" s="71">
        <v>2887.4012800769879</v>
      </c>
      <c r="BA67" s="71">
        <v>2890.2509312994634</v>
      </c>
      <c r="BB67" s="71">
        <v>2893.417085435276</v>
      </c>
      <c r="BC67" s="71">
        <v>2896.899742484426</v>
      </c>
      <c r="BD67" s="71">
        <v>2900.6989024469135</v>
      </c>
      <c r="BE67" s="71">
        <v>2904.8145653227384</v>
      </c>
      <c r="BF67" s="71">
        <v>2909.2467311119008</v>
      </c>
      <c r="BG67" s="71">
        <v>2913.995399814401</v>
      </c>
      <c r="BH67" s="71">
        <v>2919.0605714302378</v>
      </c>
      <c r="BI67" s="71">
        <v>2924.442245959413</v>
      </c>
      <c r="BJ67" s="71">
        <v>2930.1404234019246</v>
      </c>
      <c r="BK67" s="71">
        <v>2936.1551037577742</v>
      </c>
      <c r="BL67" s="71">
        <v>2942.4862870269608</v>
      </c>
      <c r="BM67" s="71">
        <v>2949.1339732094852</v>
      </c>
      <c r="BN67" s="71">
        <v>2956.0981623053472</v>
      </c>
      <c r="BO67" s="71">
        <v>2963.3788543145461</v>
      </c>
      <c r="BP67" s="71">
        <v>2970.9760492370829</v>
      </c>
      <c r="BQ67" s="71">
        <v>2978.8897470729571</v>
      </c>
      <c r="BR67" s="71">
        <v>2987.1199478221683</v>
      </c>
      <c r="BS67" s="71">
        <v>2995.666651484717</v>
      </c>
      <c r="BT67" s="71">
        <v>3004.5298580606036</v>
      </c>
      <c r="BU67" s="71">
        <v>3013.7095675498272</v>
      </c>
      <c r="BV67" s="71">
        <v>3023.2057799523882</v>
      </c>
      <c r="BW67" s="71">
        <v>3033.0184952682866</v>
      </c>
      <c r="BX67" s="71">
        <v>3043.1477134975225</v>
      </c>
      <c r="BY67" s="71">
        <v>3053.5934346400959</v>
      </c>
      <c r="BZ67" s="71">
        <v>3064.3556586960071</v>
      </c>
      <c r="CA67" s="71">
        <v>3075.4343856652549</v>
      </c>
      <c r="CB67" s="71">
        <v>3086.8296155478411</v>
      </c>
      <c r="CC67" s="71">
        <v>3098.5413483437642</v>
      </c>
      <c r="CD67" s="71">
        <v>3110.5695840530248</v>
      </c>
      <c r="CE67" s="71">
        <v>3122.9143226756223</v>
      </c>
      <c r="CF67" s="71">
        <v>3135.5755642115578</v>
      </c>
      <c r="CG67" s="71">
        <v>3148.5533086608302</v>
      </c>
      <c r="CH67" s="71">
        <v>3161.8475560234406</v>
      </c>
      <c r="CI67" s="71">
        <v>3175.4583062993884</v>
      </c>
      <c r="CJ67" s="71">
        <v>3189.3855594886732</v>
      </c>
      <c r="CK67" s="71">
        <v>3203.6293155912958</v>
      </c>
      <c r="CL67" s="71">
        <v>3218.189574607256</v>
      </c>
      <c r="CM67" s="71">
        <v>3233.0663365365531</v>
      </c>
      <c r="CN67" s="71">
        <v>3248.2596013791876</v>
      </c>
      <c r="CO67" s="71">
        <v>3263.7693691351601</v>
      </c>
      <c r="CP67" s="71">
        <v>3279.5956398044696</v>
      </c>
      <c r="CQ67" s="71">
        <v>3295.7384133871165</v>
      </c>
      <c r="CR67" s="71">
        <v>3312.1976898831008</v>
      </c>
      <c r="CS67" s="71">
        <v>3328.9734692924226</v>
      </c>
      <c r="CT67" s="71">
        <v>3346.0657516150818</v>
      </c>
      <c r="CU67" s="71">
        <v>3363.4745368510789</v>
      </c>
      <c r="CV67" s="71">
        <v>3381.1998250004131</v>
      </c>
      <c r="CW67" s="71">
        <v>3399.2416160630846</v>
      </c>
      <c r="CX67" s="71">
        <v>3417.5999100390932</v>
      </c>
      <c r="CY67" s="71">
        <v>3436.2747069284405</v>
      </c>
      <c r="CZ67" s="71">
        <v>3455.2660067311235</v>
      </c>
      <c r="DA67" s="71">
        <v>3474.5738094471449</v>
      </c>
      <c r="DB67" s="71">
        <v>3494.1981150765037</v>
      </c>
      <c r="DC67" s="71">
        <v>3514.1389236191994</v>
      </c>
      <c r="DD67" s="71">
        <v>3534.3962350752336</v>
      </c>
      <c r="DE67" s="71">
        <v>3554.9700494446038</v>
      </c>
      <c r="DF67" s="71">
        <v>3575.8603667273123</v>
      </c>
      <c r="DG67" s="71">
        <v>3597.0671869233588</v>
      </c>
      <c r="DH67" s="71">
        <v>3618.5905100327413</v>
      </c>
      <c r="DI67" s="71">
        <v>3640.4303360554622</v>
      </c>
      <c r="DJ67" s="71">
        <v>3662.5866649915201</v>
      </c>
    </row>
    <row r="68" spans="1:114" ht="20.100000000000001" customHeight="1" outlineLevel="1">
      <c r="A68" s="4"/>
      <c r="B68" s="30"/>
      <c r="C68" s="4"/>
      <c r="D68" s="4"/>
      <c r="E68" s="4"/>
      <c r="F68" s="4"/>
      <c r="G68" s="4"/>
      <c r="H68" s="4"/>
      <c r="I68" s="4"/>
      <c r="J68" s="4"/>
      <c r="K68" s="29"/>
      <c r="L68" s="3"/>
      <c r="N68" s="70" t="s">
        <v>58</v>
      </c>
      <c r="O68" s="71">
        <v>-122.54407713670656</v>
      </c>
      <c r="P68" s="71">
        <v>-122.54407713670656</v>
      </c>
      <c r="Q68" s="71">
        <v>-122.52616891440576</v>
      </c>
      <c r="R68" s="71">
        <v>-122.31016349663844</v>
      </c>
      <c r="S68" s="71">
        <v>-121.84940359579552</v>
      </c>
      <c r="T68" s="71">
        <v>-121.14388921187705</v>
      </c>
      <c r="U68" s="71">
        <v>-120.193620344883</v>
      </c>
      <c r="V68" s="71">
        <v>-118.99859699481341</v>
      </c>
      <c r="W68" s="71">
        <v>-117.55881916166823</v>
      </c>
      <c r="X68" s="71">
        <v>-115.8742868454475</v>
      </c>
      <c r="Y68" s="71">
        <v>-113.94500004615119</v>
      </c>
      <c r="Z68" s="71">
        <v>-111.77095876377933</v>
      </c>
      <c r="AA68" s="71">
        <v>-109.35216299833188</v>
      </c>
      <c r="AB68" s="71">
        <v>-106.6886127498089</v>
      </c>
      <c r="AC68" s="71">
        <v>-103.78030801821032</v>
      </c>
      <c r="AD68" s="71">
        <v>-100.6272488035362</v>
      </c>
      <c r="AE68" s="71">
        <v>-97.229435105786507</v>
      </c>
      <c r="AF68" s="71">
        <v>-93.586866924961242</v>
      </c>
      <c r="AG68" s="71">
        <v>-89.699544261060424</v>
      </c>
      <c r="AH68" s="71">
        <v>-85.567467114084025</v>
      </c>
      <c r="AI68" s="71">
        <v>-81.190635484032057</v>
      </c>
      <c r="AJ68" s="71">
        <v>-76.569049370904551</v>
      </c>
      <c r="AK68" s="71">
        <v>-71.702708774701463</v>
      </c>
      <c r="AL68" s="71">
        <v>-66.591613695422808</v>
      </c>
      <c r="AM68" s="71">
        <v>-61.235764133068585</v>
      </c>
      <c r="AN68" s="71">
        <v>-55.635160087638809</v>
      </c>
      <c r="AO68" s="71">
        <v>-49.789801559133451</v>
      </c>
      <c r="AP68" s="71">
        <v>-43.699688547552547</v>
      </c>
      <c r="AQ68" s="71">
        <v>-37.364821052896055</v>
      </c>
      <c r="AR68" s="71">
        <v>-30.785199075164016</v>
      </c>
      <c r="AS68" s="71">
        <v>-23.598633357046793</v>
      </c>
      <c r="AT68" s="71">
        <v>-15.426295777136552</v>
      </c>
      <c r="AU68" s="71">
        <v>-6.2681388337985737</v>
      </c>
      <c r="AV68" s="71">
        <v>3.8758374729671079</v>
      </c>
      <c r="AW68" s="71">
        <v>15.00563314316044</v>
      </c>
      <c r="AX68" s="71">
        <v>27.121248176781528</v>
      </c>
      <c r="AY68" s="71">
        <v>40.222682573830248</v>
      </c>
      <c r="AZ68" s="71">
        <v>54.309936334306741</v>
      </c>
      <c r="BA68" s="71">
        <v>69.383009458210864</v>
      </c>
      <c r="BB68" s="71">
        <v>85.441901945542753</v>
      </c>
      <c r="BC68" s="71">
        <v>102.48661379630227</v>
      </c>
      <c r="BD68" s="71">
        <v>120.51714501048954</v>
      </c>
      <c r="BE68" s="71">
        <v>139.53349558810444</v>
      </c>
      <c r="BF68" s="71">
        <v>159.53566552914705</v>
      </c>
      <c r="BG68" s="71">
        <v>180.52365483361757</v>
      </c>
      <c r="BH68" s="71">
        <v>202.49746350151554</v>
      </c>
      <c r="BI68" s="71">
        <v>225.45709153284125</v>
      </c>
      <c r="BJ68" s="71">
        <v>249.40253892759463</v>
      </c>
      <c r="BK68" s="71">
        <v>274.33380568577593</v>
      </c>
      <c r="BL68" s="71">
        <v>300.25089180738473</v>
      </c>
      <c r="BM68" s="71">
        <v>327.15379729242125</v>
      </c>
      <c r="BN68" s="71">
        <v>355.04252214088569</v>
      </c>
      <c r="BO68" s="71">
        <v>383.91706635277751</v>
      </c>
      <c r="BP68" s="71">
        <v>413.77742992809709</v>
      </c>
      <c r="BQ68" s="71">
        <v>444.62361286684438</v>
      </c>
      <c r="BR68" s="71">
        <v>476.45561516901961</v>
      </c>
      <c r="BS68" s="71">
        <v>509.27343683462226</v>
      </c>
      <c r="BT68" s="71">
        <v>543.07707786365268</v>
      </c>
      <c r="BU68" s="71">
        <v>577.86653825611074</v>
      </c>
      <c r="BV68" s="71">
        <v>613.64181801199686</v>
      </c>
      <c r="BW68" s="71">
        <v>650.40291713131035</v>
      </c>
      <c r="BX68" s="71">
        <v>688.14983561405154</v>
      </c>
      <c r="BY68" s="71">
        <v>726.88257346022033</v>
      </c>
      <c r="BZ68" s="71">
        <v>766.60113066981728</v>
      </c>
      <c r="CA68" s="71">
        <v>807.3055072428416</v>
      </c>
      <c r="CB68" s="71">
        <v>848.99570317929329</v>
      </c>
      <c r="CC68" s="71">
        <v>891.67171847917336</v>
      </c>
      <c r="CD68" s="71">
        <v>935.3335531424807</v>
      </c>
      <c r="CE68" s="71">
        <v>979.98120716921574</v>
      </c>
      <c r="CF68" s="71">
        <v>1025.6146805593785</v>
      </c>
      <c r="CG68" s="71">
        <v>1072.2339733129695</v>
      </c>
      <c r="CH68" s="71">
        <v>1119.8390854299876</v>
      </c>
      <c r="CI68" s="71">
        <v>1168.4300169104333</v>
      </c>
      <c r="CJ68" s="71">
        <v>1218.0067677543068</v>
      </c>
      <c r="CK68" s="71">
        <v>1268.5693379616084</v>
      </c>
      <c r="CL68" s="71">
        <v>1320.1177275323373</v>
      </c>
      <c r="CM68" s="71">
        <v>1372.6519364664939</v>
      </c>
      <c r="CN68" s="71">
        <v>1426.1719647640782</v>
      </c>
      <c r="CO68" s="71">
        <v>1480.6778124250907</v>
      </c>
      <c r="CP68" s="71">
        <v>1536.1694794495306</v>
      </c>
      <c r="CQ68" s="71">
        <v>1592.6469658373978</v>
      </c>
      <c r="CR68" s="71">
        <v>1650.1102715886932</v>
      </c>
      <c r="CS68" s="71">
        <v>1708.5593967034165</v>
      </c>
      <c r="CT68" s="71">
        <v>1767.9943411815664</v>
      </c>
      <c r="CU68" s="71">
        <v>1828.4151050231453</v>
      </c>
      <c r="CV68" s="71">
        <v>1889.8216882281517</v>
      </c>
      <c r="CW68" s="71">
        <v>1952.2140907965847</v>
      </c>
      <c r="CX68" s="71">
        <v>2015.5923127284466</v>
      </c>
      <c r="CY68" s="71">
        <v>2079.9563540237359</v>
      </c>
      <c r="CZ68" s="71">
        <v>2145.3062146824523</v>
      </c>
      <c r="DA68" s="71">
        <v>2211.6418947045972</v>
      </c>
      <c r="DB68" s="71">
        <v>2278.9633940901699</v>
      </c>
      <c r="DC68" s="71">
        <v>2347.2707128391689</v>
      </c>
      <c r="DD68" s="71">
        <v>2416.563850951597</v>
      </c>
      <c r="DE68" s="71">
        <v>2486.8428084274515</v>
      </c>
      <c r="DF68" s="71">
        <v>2558.107585266735</v>
      </c>
      <c r="DG68" s="71">
        <v>2630.3581814694467</v>
      </c>
      <c r="DH68" s="71">
        <v>2703.5945970355838</v>
      </c>
      <c r="DI68" s="71">
        <v>2777.8168319651504</v>
      </c>
      <c r="DJ68" s="71">
        <v>2853.0248862581439</v>
      </c>
    </row>
    <row r="69" spans="1:114" ht="20.100000000000001" customHeight="1" outlineLevel="1">
      <c r="A69" s="4"/>
      <c r="B69" s="30"/>
      <c r="C69" s="4"/>
      <c r="D69" s="4"/>
      <c r="E69" s="4"/>
      <c r="F69" s="4"/>
      <c r="G69" s="4"/>
      <c r="H69" s="4"/>
      <c r="I69" s="4"/>
      <c r="J69" s="4"/>
      <c r="K69" s="29"/>
      <c r="L69" s="3"/>
    </row>
    <row r="70" spans="1:114" ht="20.100000000000001" customHeight="1" outlineLevel="1">
      <c r="A70" s="4"/>
      <c r="B70" s="30"/>
      <c r="C70" s="4"/>
      <c r="D70" s="4"/>
      <c r="E70" s="4"/>
      <c r="F70" s="4"/>
      <c r="G70" s="4"/>
      <c r="H70" s="4"/>
      <c r="I70" s="4"/>
      <c r="J70" s="4"/>
      <c r="K70" s="29"/>
      <c r="L70" s="3"/>
    </row>
    <row r="71" spans="1:114" ht="20.100000000000001" customHeight="1" outlineLevel="1">
      <c r="A71" s="4"/>
      <c r="B71" s="30"/>
      <c r="C71" s="4"/>
      <c r="D71" s="4"/>
      <c r="E71" s="4"/>
      <c r="F71" s="4"/>
      <c r="G71" s="4"/>
      <c r="H71" s="4"/>
      <c r="I71" s="4"/>
      <c r="J71" s="4"/>
      <c r="K71" s="29"/>
      <c r="L71" s="3"/>
    </row>
    <row r="72" spans="1:114" ht="20.100000000000001" customHeight="1" outlineLevel="1">
      <c r="A72" s="4"/>
      <c r="B72" s="30"/>
      <c r="C72" s="4"/>
      <c r="D72" s="4"/>
      <c r="E72" s="4"/>
      <c r="F72" s="4"/>
      <c r="G72" s="4"/>
      <c r="H72" s="4"/>
      <c r="I72" s="4"/>
      <c r="J72" s="4"/>
      <c r="K72" s="29"/>
      <c r="L72" s="3"/>
    </row>
    <row r="73" spans="1:114" ht="20.100000000000001" customHeight="1" outlineLevel="1">
      <c r="A73" s="4"/>
      <c r="B73" s="30"/>
      <c r="C73" s="4"/>
      <c r="D73" s="4"/>
      <c r="E73" s="4"/>
      <c r="F73" s="4"/>
      <c r="G73" s="4"/>
      <c r="H73" s="4"/>
      <c r="I73" s="4"/>
      <c r="J73" s="4"/>
      <c r="K73" s="29"/>
      <c r="L73" s="3"/>
    </row>
    <row r="74" spans="1:114" ht="20.100000000000001" customHeight="1" outlineLevel="1">
      <c r="A74" s="4"/>
      <c r="B74" s="30"/>
      <c r="C74" s="4"/>
      <c r="D74" s="4"/>
      <c r="E74" s="4"/>
      <c r="F74" s="4"/>
      <c r="G74" s="4"/>
      <c r="H74" s="4"/>
      <c r="I74" s="4"/>
      <c r="J74" s="4"/>
      <c r="K74" s="29"/>
      <c r="L74" s="3"/>
    </row>
    <row r="75" spans="1:114" ht="20.100000000000001" customHeight="1" outlineLevel="1">
      <c r="A75" s="4"/>
      <c r="B75" s="30"/>
      <c r="C75" s="4"/>
      <c r="D75" s="4"/>
      <c r="E75" s="4"/>
      <c r="F75" s="4"/>
      <c r="G75" s="4"/>
      <c r="H75" s="4"/>
      <c r="I75" s="4"/>
      <c r="J75" s="4"/>
      <c r="K75" s="29"/>
      <c r="L75" s="3"/>
    </row>
    <row r="76" spans="1:114" ht="20.100000000000001" customHeight="1" outlineLevel="1">
      <c r="A76" s="4"/>
      <c r="B76" s="30"/>
      <c r="C76" s="4"/>
      <c r="D76" s="4"/>
      <c r="E76" s="4"/>
      <c r="F76" s="4"/>
      <c r="G76" s="4"/>
      <c r="H76" s="4"/>
      <c r="I76" s="4"/>
      <c r="J76" s="4"/>
      <c r="K76" s="29"/>
      <c r="L76" s="3"/>
    </row>
    <row r="77" spans="1:114" ht="20.100000000000001" customHeight="1" outlineLevel="1">
      <c r="A77" s="4"/>
      <c r="B77" s="30"/>
      <c r="C77" s="4"/>
      <c r="D77" s="4"/>
      <c r="E77" s="4"/>
      <c r="F77" s="4"/>
      <c r="G77" s="4"/>
      <c r="H77" s="4"/>
      <c r="I77" s="4"/>
      <c r="J77" s="4"/>
      <c r="K77" s="29"/>
      <c r="L77" s="3"/>
    </row>
    <row r="78" spans="1:114" ht="20.100000000000001" customHeight="1" outlineLevel="1">
      <c r="A78" s="4"/>
      <c r="B78" s="30"/>
      <c r="C78" s="4"/>
      <c r="D78" s="4"/>
      <c r="E78" s="4"/>
      <c r="F78" s="4"/>
      <c r="G78" s="4"/>
      <c r="H78" s="4"/>
      <c r="I78" s="4"/>
      <c r="J78" s="4"/>
      <c r="K78" s="29"/>
      <c r="L78" s="3"/>
    </row>
    <row r="79" spans="1:114" ht="20.100000000000001" customHeight="1" outlineLevel="1">
      <c r="A79" s="4"/>
      <c r="B79" s="30"/>
      <c r="C79" s="4"/>
      <c r="D79" s="4"/>
      <c r="E79" s="4"/>
      <c r="F79" s="4"/>
      <c r="G79" s="4"/>
      <c r="H79" s="4"/>
      <c r="I79" s="4"/>
      <c r="J79" s="4"/>
      <c r="K79" s="29"/>
      <c r="L79" s="3"/>
    </row>
    <row r="80" spans="1:114" ht="20.100000000000001" customHeight="1" outlineLevel="1">
      <c r="A80" s="4"/>
      <c r="B80" s="73"/>
      <c r="C80" s="72"/>
      <c r="D80" s="72"/>
      <c r="E80" s="72"/>
      <c r="F80" s="72"/>
      <c r="G80" s="72"/>
      <c r="H80" s="72"/>
      <c r="I80" s="72"/>
      <c r="J80" s="72"/>
      <c r="K80" s="74"/>
      <c r="L80" s="3"/>
    </row>
    <row r="81" spans="1:14" ht="20.100000000000001" customHeight="1" outlineLevel="1">
      <c r="A81" s="9"/>
      <c r="B81" s="17"/>
      <c r="C81" s="17"/>
      <c r="D81" s="17"/>
      <c r="E81" s="17"/>
      <c r="F81" s="17"/>
      <c r="G81" s="17"/>
      <c r="H81" s="17"/>
      <c r="I81" s="16"/>
      <c r="J81" s="68"/>
      <c r="K81" s="15"/>
      <c r="L81" s="3"/>
    </row>
    <row r="82" spans="1:14" ht="20.100000000000001" customHeight="1" outlineLevel="1">
      <c r="A82" s="75" t="str">
        <f>$A$64&amp;"."&amp;1</f>
        <v>D.2.1</v>
      </c>
      <c r="B82" s="12" t="s">
        <v>59</v>
      </c>
      <c r="C82" s="12"/>
      <c r="D82" s="12"/>
      <c r="E82" s="12"/>
      <c r="F82" s="12"/>
      <c r="G82" s="12"/>
      <c r="H82" s="12"/>
      <c r="I82" s="12"/>
      <c r="J82" s="77" t="s">
        <v>60</v>
      </c>
      <c r="K82" s="78" t="s">
        <v>61</v>
      </c>
      <c r="L82" s="3"/>
    </row>
    <row r="83" spans="1:14" ht="20.100000000000001" customHeight="1" outlineLevel="1">
      <c r="A83" s="9" t="s">
        <v>5</v>
      </c>
      <c r="B83" s="11" t="s">
        <v>325</v>
      </c>
      <c r="C83" s="11"/>
      <c r="D83" s="11"/>
      <c r="E83" s="11"/>
      <c r="F83" s="11"/>
      <c r="G83" s="11"/>
      <c r="H83" s="11"/>
      <c r="I83" s="10"/>
      <c r="J83" s="79">
        <v>-123.29166666666667</v>
      </c>
      <c r="K83" s="79">
        <v>2876</v>
      </c>
      <c r="L83" s="3"/>
    </row>
    <row r="84" spans="1:14" ht="20.100000000000001" customHeight="1" outlineLevel="1">
      <c r="A84" s="9" t="s">
        <v>4</v>
      </c>
      <c r="B84" s="8" t="s">
        <v>62</v>
      </c>
      <c r="C84" s="8"/>
      <c r="D84" s="8"/>
      <c r="E84" s="8"/>
      <c r="F84" s="8"/>
      <c r="G84" s="8"/>
      <c r="H84" s="8"/>
      <c r="I84" s="7"/>
      <c r="J84" s="79">
        <v>1541.0104837103397</v>
      </c>
      <c r="K84" s="79">
        <v>3595</v>
      </c>
      <c r="L84" s="3"/>
    </row>
    <row r="85" spans="1:14" ht="20.100000000000001" customHeight="1" outlineLevel="1">
      <c r="A85" s="9" t="s">
        <v>3</v>
      </c>
      <c r="B85" s="8" t="s">
        <v>63</v>
      </c>
      <c r="C85" s="8"/>
      <c r="D85" s="8"/>
      <c r="E85" s="8"/>
      <c r="F85" s="8"/>
      <c r="G85" s="8"/>
      <c r="H85" s="8"/>
      <c r="I85" s="7"/>
      <c r="J85" s="79">
        <v>114.92196043773332</v>
      </c>
      <c r="K85" s="79">
        <v>2892.066743291608</v>
      </c>
      <c r="L85" s="3"/>
    </row>
    <row r="86" spans="1:14" ht="20.100000000000001" customHeight="1" outlineLevel="1">
      <c r="A86" s="9" t="s">
        <v>7</v>
      </c>
      <c r="B86" s="8" t="s">
        <v>65</v>
      </c>
      <c r="C86" s="8"/>
      <c r="D86" s="8"/>
      <c r="E86" s="8"/>
      <c r="F86" s="8"/>
      <c r="G86" s="8"/>
      <c r="H86" s="8"/>
      <c r="I86" s="7"/>
      <c r="J86" s="79">
        <v>-804.86439973640131</v>
      </c>
      <c r="K86" s="79">
        <v>2873.767947418442</v>
      </c>
      <c r="L86" s="3"/>
    </row>
    <row r="87" spans="1:14" ht="20.100000000000001" customHeight="1" outlineLevel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3"/>
    </row>
    <row r="88" spans="1:14" ht="20.100000000000001" customHeight="1" outlineLevel="1">
      <c r="A88" s="75" t="str">
        <f>$A$64&amp;"."&amp;2</f>
        <v>D.2.2</v>
      </c>
      <c r="B88" s="12" t="s">
        <v>64</v>
      </c>
      <c r="C88" s="12"/>
      <c r="D88" s="12"/>
      <c r="E88" s="12"/>
      <c r="F88" s="12"/>
      <c r="G88" s="12"/>
      <c r="H88" s="12"/>
      <c r="I88" s="78" t="s">
        <v>95</v>
      </c>
      <c r="J88" s="77" t="s">
        <v>68</v>
      </c>
      <c r="K88" s="78" t="s">
        <v>69</v>
      </c>
      <c r="L88" s="3"/>
    </row>
    <row r="89" spans="1:14" ht="20.100000000000001" customHeight="1" outlineLevel="1">
      <c r="A89" s="9" t="s">
        <v>5</v>
      </c>
      <c r="B89" s="11" t="s">
        <v>327</v>
      </c>
      <c r="C89" s="11"/>
      <c r="D89" s="11"/>
      <c r="E89" s="11"/>
      <c r="F89" s="11"/>
      <c r="G89" s="11"/>
      <c r="H89" s="11"/>
      <c r="I89" s="80">
        <v>2880693.4754115143</v>
      </c>
      <c r="J89" s="80">
        <v>6.9586421665519413E-2</v>
      </c>
      <c r="K89" s="80">
        <v>2.5564059311506176E-7</v>
      </c>
      <c r="L89" s="3"/>
    </row>
    <row r="90" spans="1:14" ht="20.100000000000001" customHeight="1" outlineLevel="1">
      <c r="A90" s="9" t="s">
        <v>4</v>
      </c>
      <c r="B90" s="8" t="s">
        <v>66</v>
      </c>
      <c r="C90" s="8"/>
      <c r="D90" s="8"/>
      <c r="E90" s="8"/>
      <c r="F90" s="8"/>
      <c r="G90" s="8"/>
      <c r="H90" s="8"/>
      <c r="I90" s="80">
        <v>2876880.5626797481</v>
      </c>
      <c r="J90" s="80">
        <v>7.7345084770186583E-3</v>
      </c>
      <c r="K90" s="80">
        <v>4.8048518977555494E-9</v>
      </c>
      <c r="L90" s="3"/>
    </row>
    <row r="91" spans="1:14" ht="20.100000000000001" customHeight="1" outlineLevel="1">
      <c r="A91" s="9" t="s">
        <v>3</v>
      </c>
      <c r="B91" s="8" t="s">
        <v>67</v>
      </c>
      <c r="C91" s="8"/>
      <c r="D91" s="8"/>
      <c r="E91" s="8"/>
      <c r="F91" s="8"/>
      <c r="G91" s="8"/>
      <c r="H91" s="8"/>
      <c r="I91" s="80">
        <v>2873767.947418442</v>
      </c>
      <c r="J91" s="76">
        <v>0</v>
      </c>
      <c r="K91" s="76">
        <v>0</v>
      </c>
      <c r="L91" s="3"/>
    </row>
    <row r="92" spans="1:14" ht="20.100000000000001" customHeight="1" outlineLevel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3"/>
    </row>
    <row r="93" spans="1:14" ht="20.100000000000001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3"/>
    </row>
    <row r="94" spans="1:14" ht="20.100000000000001" customHeight="1" thickBot="1">
      <c r="A94" s="14" t="str">
        <f>$A$11&amp;"."&amp;3</f>
        <v>D.3</v>
      </c>
      <c r="B94" s="14" t="s">
        <v>70</v>
      </c>
      <c r="C94" s="14"/>
      <c r="D94" s="14"/>
      <c r="E94" s="14"/>
      <c r="F94" s="14"/>
      <c r="G94" s="14"/>
      <c r="H94" s="14"/>
      <c r="I94" s="14"/>
      <c r="J94" s="14"/>
      <c r="K94" s="13"/>
      <c r="L94" s="3"/>
    </row>
    <row r="95" spans="1:14" ht="20.100000000000001" customHeight="1" outlineLevel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3"/>
    </row>
    <row r="96" spans="1:14" ht="20.100000000000001" customHeight="1" outlineLevel="1">
      <c r="A96" s="4"/>
      <c r="B96" s="33"/>
      <c r="C96" s="32"/>
      <c r="D96" s="32"/>
      <c r="E96" s="32"/>
      <c r="F96" s="32"/>
      <c r="G96" s="32"/>
      <c r="H96" s="32"/>
      <c r="I96" s="32"/>
      <c r="J96" s="32"/>
      <c r="K96" s="31"/>
      <c r="L96" s="3"/>
      <c r="N96" s="70"/>
    </row>
    <row r="97" spans="1:14" ht="20.100000000000001" customHeight="1" outlineLevel="1">
      <c r="A97" s="4"/>
      <c r="B97" s="30"/>
      <c r="C97" s="4"/>
      <c r="D97" s="4"/>
      <c r="E97" s="4"/>
      <c r="F97" s="4"/>
      <c r="G97" s="4"/>
      <c r="H97" s="4"/>
      <c r="I97" s="4"/>
      <c r="J97" s="4"/>
      <c r="K97" s="29"/>
      <c r="L97" s="3"/>
      <c r="N97" s="70"/>
    </row>
    <row r="98" spans="1:14" ht="20.100000000000001" customHeight="1" outlineLevel="1">
      <c r="A98" s="4"/>
      <c r="B98" s="30"/>
      <c r="C98" s="4"/>
      <c r="D98" s="4"/>
      <c r="E98" s="4"/>
      <c r="F98" s="4"/>
      <c r="G98" s="4"/>
      <c r="H98" s="4"/>
      <c r="I98" s="4"/>
      <c r="J98" s="4"/>
      <c r="K98" s="29"/>
      <c r="L98" s="3"/>
      <c r="N98" s="70"/>
    </row>
    <row r="99" spans="1:14" ht="20.100000000000001" customHeight="1" outlineLevel="1">
      <c r="A99" s="4"/>
      <c r="B99" s="30"/>
      <c r="C99" s="4"/>
      <c r="D99" s="4"/>
      <c r="E99" s="4"/>
      <c r="F99" s="4"/>
      <c r="G99" s="4"/>
      <c r="H99" s="4"/>
      <c r="I99" s="4"/>
      <c r="J99" s="4"/>
      <c r="K99" s="29"/>
      <c r="L99" s="3"/>
    </row>
    <row r="100" spans="1:14" ht="20.100000000000001" customHeight="1" outlineLevel="1">
      <c r="A100" s="4"/>
      <c r="B100" s="30"/>
      <c r="C100" s="4"/>
      <c r="D100" s="4"/>
      <c r="E100" s="4"/>
      <c r="F100" s="4"/>
      <c r="G100" s="4"/>
      <c r="H100" s="4"/>
      <c r="I100" s="4"/>
      <c r="J100" s="4"/>
      <c r="K100" s="29"/>
      <c r="L100" s="3"/>
    </row>
    <row r="101" spans="1:14" ht="20.100000000000001" customHeight="1" outlineLevel="1">
      <c r="A101" s="4"/>
      <c r="B101" s="30"/>
      <c r="C101" s="4"/>
      <c r="D101" s="4"/>
      <c r="E101" s="4"/>
      <c r="F101" s="4"/>
      <c r="G101" s="4"/>
      <c r="H101" s="4"/>
      <c r="I101" s="4"/>
      <c r="J101" s="4"/>
      <c r="K101" s="29"/>
      <c r="L101" s="3"/>
    </row>
    <row r="102" spans="1:14" ht="20.100000000000001" customHeight="1" outlineLevel="1">
      <c r="A102" s="4"/>
      <c r="B102" s="30"/>
      <c r="C102" s="4"/>
      <c r="D102" s="4"/>
      <c r="E102" s="4"/>
      <c r="F102" s="4"/>
      <c r="G102" s="4"/>
      <c r="H102" s="4"/>
      <c r="I102" s="4"/>
      <c r="J102" s="4"/>
      <c r="K102" s="29"/>
      <c r="L102" s="3"/>
    </row>
    <row r="103" spans="1:14" ht="20.100000000000001" customHeight="1" outlineLevel="1">
      <c r="A103" s="4"/>
      <c r="B103" s="30"/>
      <c r="C103" s="4"/>
      <c r="D103" s="4"/>
      <c r="E103" s="4"/>
      <c r="F103" s="4"/>
      <c r="G103" s="4"/>
      <c r="H103" s="4"/>
      <c r="I103" s="4"/>
      <c r="J103" s="4"/>
      <c r="K103" s="29"/>
      <c r="L103" s="3"/>
    </row>
    <row r="104" spans="1:14" ht="20.100000000000001" customHeight="1" outlineLevel="1">
      <c r="A104" s="4"/>
      <c r="B104" s="30"/>
      <c r="C104" s="4"/>
      <c r="D104" s="4"/>
      <c r="E104" s="4"/>
      <c r="F104" s="4"/>
      <c r="G104" s="4"/>
      <c r="H104" s="4"/>
      <c r="I104" s="4"/>
      <c r="J104" s="4"/>
      <c r="K104" s="29"/>
      <c r="L104" s="3"/>
    </row>
    <row r="105" spans="1:14" ht="20.100000000000001" customHeight="1" outlineLevel="1">
      <c r="A105" s="4"/>
      <c r="B105" s="30"/>
      <c r="C105" s="4"/>
      <c r="D105" s="4"/>
      <c r="E105" s="4"/>
      <c r="F105" s="4"/>
      <c r="G105" s="4"/>
      <c r="H105" s="4"/>
      <c r="I105" s="4"/>
      <c r="J105" s="4"/>
      <c r="K105" s="29"/>
      <c r="L105" s="3"/>
    </row>
    <row r="106" spans="1:14" ht="20.100000000000001" customHeight="1" outlineLevel="1">
      <c r="A106" s="4"/>
      <c r="B106" s="30"/>
      <c r="C106" s="4"/>
      <c r="D106" s="4"/>
      <c r="E106" s="4"/>
      <c r="F106" s="4"/>
      <c r="G106" s="4"/>
      <c r="H106" s="4"/>
      <c r="I106" s="4"/>
      <c r="J106" s="4"/>
      <c r="K106" s="29"/>
      <c r="L106" s="3"/>
    </row>
    <row r="107" spans="1:14" ht="20.100000000000001" customHeight="1" outlineLevel="1">
      <c r="A107" s="4"/>
      <c r="B107" s="30"/>
      <c r="C107" s="4"/>
      <c r="D107" s="4"/>
      <c r="E107" s="4"/>
      <c r="F107" s="4"/>
      <c r="G107" s="4"/>
      <c r="H107" s="4"/>
      <c r="I107" s="4"/>
      <c r="J107" s="4"/>
      <c r="K107" s="29"/>
      <c r="L107" s="3"/>
    </row>
    <row r="108" spans="1:14" ht="20.100000000000001" customHeight="1" outlineLevel="1">
      <c r="A108" s="4"/>
      <c r="B108" s="30"/>
      <c r="C108" s="4"/>
      <c r="D108" s="4"/>
      <c r="E108" s="4"/>
      <c r="F108" s="4"/>
      <c r="G108" s="4"/>
      <c r="H108" s="4"/>
      <c r="I108" s="4"/>
      <c r="J108" s="4"/>
      <c r="K108" s="29"/>
      <c r="L108" s="3"/>
    </row>
    <row r="109" spans="1:14" ht="20.100000000000001" customHeight="1" outlineLevel="1">
      <c r="A109" s="4"/>
      <c r="B109" s="30"/>
      <c r="C109" s="4"/>
      <c r="D109" s="4"/>
      <c r="E109" s="4"/>
      <c r="F109" s="4"/>
      <c r="G109" s="4"/>
      <c r="H109" s="4"/>
      <c r="I109" s="4"/>
      <c r="J109" s="4"/>
      <c r="K109" s="29"/>
      <c r="L109" s="3"/>
    </row>
    <row r="110" spans="1:14" ht="20.100000000000001" customHeight="1" outlineLevel="1">
      <c r="A110" s="4"/>
      <c r="B110" s="73"/>
      <c r="C110" s="72"/>
      <c r="D110" s="72"/>
      <c r="E110" s="72"/>
      <c r="F110" s="72"/>
      <c r="G110" s="72"/>
      <c r="H110" s="72"/>
      <c r="I110" s="72"/>
      <c r="J110" s="72"/>
      <c r="K110" s="74"/>
      <c r="L110" s="3"/>
    </row>
    <row r="111" spans="1:14" ht="20.100000000000001" customHeight="1" outlineLevel="1">
      <c r="A111" s="9"/>
      <c r="B111" s="17"/>
      <c r="C111" s="17"/>
      <c r="D111" s="17"/>
      <c r="E111" s="17"/>
      <c r="F111" s="17"/>
      <c r="G111" s="17"/>
      <c r="H111" s="17"/>
      <c r="I111" s="16"/>
      <c r="J111" s="68"/>
      <c r="K111" s="15"/>
      <c r="L111" s="3"/>
    </row>
    <row r="112" spans="1:14" ht="20.100000000000001" customHeight="1" outlineLevel="1">
      <c r="A112" s="75" t="str">
        <f>$A$94&amp;"."&amp;1</f>
        <v>D.3.1</v>
      </c>
      <c r="B112" s="12" t="s">
        <v>59</v>
      </c>
      <c r="C112" s="12"/>
      <c r="D112" s="12"/>
      <c r="E112" s="12"/>
      <c r="F112" s="12"/>
      <c r="G112" s="12"/>
      <c r="H112" s="12"/>
      <c r="I112" s="12"/>
      <c r="J112" s="77" t="s">
        <v>60</v>
      </c>
      <c r="K112" s="78" t="s">
        <v>71</v>
      </c>
      <c r="L112" s="3"/>
    </row>
    <row r="113" spans="1:21" ht="20.100000000000001" customHeight="1" outlineLevel="1">
      <c r="A113" s="9" t="s">
        <v>5</v>
      </c>
      <c r="B113" s="11" t="s">
        <v>325</v>
      </c>
      <c r="C113" s="11"/>
      <c r="D113" s="11"/>
      <c r="E113" s="11"/>
      <c r="F113" s="11"/>
      <c r="G113" s="11"/>
      <c r="H113" s="11"/>
      <c r="I113" s="10"/>
      <c r="J113" s="79">
        <f>point1.Z</f>
        <v>-123.29166666666667</v>
      </c>
      <c r="K113" s="79">
        <v>-30.709300204896465</v>
      </c>
      <c r="L113" s="3"/>
    </row>
    <row r="114" spans="1:21" ht="20.100000000000001" customHeight="1" outlineLevel="1">
      <c r="A114" s="9" t="s">
        <v>4</v>
      </c>
      <c r="B114" s="8" t="s">
        <v>62</v>
      </c>
      <c r="C114" s="8"/>
      <c r="D114" s="8"/>
      <c r="E114" s="8"/>
      <c r="F114" s="8"/>
      <c r="G114" s="8"/>
      <c r="H114" s="8"/>
      <c r="I114" s="7"/>
      <c r="J114" s="79">
        <f>point2.Z</f>
        <v>1541.0104837103397</v>
      </c>
      <c r="K114" s="79">
        <v>2623.3194211587502</v>
      </c>
      <c r="L114" s="3"/>
    </row>
    <row r="115" spans="1:21" ht="20.100000000000001" customHeight="1" outlineLevel="1">
      <c r="A115" s="9" t="s">
        <v>3</v>
      </c>
      <c r="B115" s="8" t="s">
        <v>63</v>
      </c>
      <c r="C115" s="8"/>
      <c r="D115" s="8"/>
      <c r="E115" s="8"/>
      <c r="F115" s="8"/>
      <c r="G115" s="8"/>
      <c r="H115" s="8"/>
      <c r="I115" s="7"/>
      <c r="J115" s="79">
        <f>point3.Z</f>
        <v>114.92196043773332</v>
      </c>
      <c r="K115" s="79">
        <v>78.668064749365541</v>
      </c>
      <c r="L115" s="3"/>
    </row>
    <row r="116" spans="1:21" ht="20.100000000000001" customHeight="1" outlineLevel="1">
      <c r="A116" s="9" t="s">
        <v>7</v>
      </c>
      <c r="B116" s="8" t="s">
        <v>65</v>
      </c>
      <c r="C116" s="8"/>
      <c r="D116" s="8"/>
      <c r="E116" s="8"/>
      <c r="F116" s="8"/>
      <c r="G116" s="8"/>
      <c r="H116" s="8"/>
      <c r="I116" s="7"/>
      <c r="J116" s="79">
        <f>point4.Z</f>
        <v>-804.86439973640131</v>
      </c>
      <c r="K116" s="79">
        <v>-122.54407713670656</v>
      </c>
      <c r="L116" s="3"/>
    </row>
    <row r="117" spans="1:21" ht="20.100000000000001" customHeight="1" outlineLevel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3"/>
    </row>
    <row r="118" spans="1:21" ht="20.100000000000001" customHeight="1" outlineLevel="1">
      <c r="A118" s="75" t="str">
        <f>$A$94&amp;"."&amp;2</f>
        <v>D.3.2</v>
      </c>
      <c r="B118" s="12" t="s">
        <v>64</v>
      </c>
      <c r="C118" s="12"/>
      <c r="D118" s="12"/>
      <c r="E118" s="12"/>
      <c r="F118" s="12"/>
      <c r="G118" s="12"/>
      <c r="H118" s="12"/>
      <c r="I118" s="78" t="s">
        <v>95</v>
      </c>
      <c r="J118" s="77" t="s">
        <v>68</v>
      </c>
      <c r="K118" s="78" t="s">
        <v>69</v>
      </c>
      <c r="L118" s="3"/>
    </row>
    <row r="119" spans="1:21" ht="20.100000000000001" customHeight="1" outlineLevel="1">
      <c r="A119" s="9" t="s">
        <v>5</v>
      </c>
      <c r="B119" s="11" t="s">
        <v>327</v>
      </c>
      <c r="C119" s="11"/>
      <c r="D119" s="11"/>
      <c r="E119" s="11"/>
      <c r="F119" s="11"/>
      <c r="G119" s="11"/>
      <c r="H119" s="11"/>
      <c r="I119" s="80">
        <v>14.618882630978042</v>
      </c>
      <c r="J119" s="80">
        <v>4.6582100323535426E-4</v>
      </c>
      <c r="K119" s="149">
        <v>7.9625000640135256E-10</v>
      </c>
      <c r="L119" s="3"/>
    </row>
    <row r="120" spans="1:21" ht="20.100000000000001" customHeight="1" outlineLevel="1">
      <c r="A120" s="9" t="s">
        <v>4</v>
      </c>
      <c r="B120" s="8" t="s">
        <v>66</v>
      </c>
      <c r="C120" s="8"/>
      <c r="D120" s="8"/>
      <c r="E120" s="8"/>
      <c r="F120" s="8"/>
      <c r="G120" s="8"/>
      <c r="H120" s="8"/>
      <c r="I120" s="80">
        <v>5.5202572604208351</v>
      </c>
      <c r="J120" s="80">
        <v>3.1822586373324345E-4</v>
      </c>
      <c r="K120" s="80">
        <v>1.9768911622719593E-10</v>
      </c>
      <c r="L120" s="3"/>
    </row>
    <row r="121" spans="1:21" ht="20.100000000000001" customHeight="1" outlineLevel="1">
      <c r="A121" s="9" t="s">
        <v>3</v>
      </c>
      <c r="B121" s="8" t="s">
        <v>67</v>
      </c>
      <c r="C121" s="8"/>
      <c r="D121" s="8"/>
      <c r="E121" s="8"/>
      <c r="F121" s="8"/>
      <c r="G121" s="8"/>
      <c r="H121" s="8"/>
      <c r="I121" s="80">
        <v>-122.54407713670656</v>
      </c>
      <c r="J121" s="76">
        <v>0</v>
      </c>
      <c r="K121" s="76">
        <v>0</v>
      </c>
      <c r="L121" s="3"/>
    </row>
    <row r="122" spans="1:21" ht="20.100000000000001" customHeight="1" outlineLevel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3"/>
    </row>
    <row r="123" spans="1:21" ht="20.100000000000001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3"/>
    </row>
    <row r="124" spans="1:21" ht="20.100000000000001" customHeight="1" thickBot="1">
      <c r="A124" s="14" t="str">
        <f>$A$11&amp;"."&amp;4</f>
        <v>D.4</v>
      </c>
      <c r="B124" s="14" t="s">
        <v>255</v>
      </c>
      <c r="C124" s="14"/>
      <c r="D124" s="14"/>
      <c r="E124" s="14"/>
      <c r="F124" s="14"/>
      <c r="G124" s="14"/>
      <c r="H124" s="14"/>
      <c r="I124" s="14"/>
      <c r="J124" s="14"/>
      <c r="K124" s="13"/>
      <c r="L124" s="3"/>
      <c r="U124" s="99"/>
    </row>
    <row r="125" spans="1:21" ht="20.100000000000001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3"/>
      <c r="U125" s="99"/>
    </row>
    <row r="126" spans="1:21" ht="20.100000000000001" customHeight="1">
      <c r="A126" s="75" t="str">
        <f>$A$124&amp;"."&amp;1</f>
        <v>D.4.1</v>
      </c>
      <c r="B126" s="12" t="s">
        <v>258</v>
      </c>
      <c r="C126" s="12"/>
      <c r="D126" s="12"/>
      <c r="E126" s="12"/>
      <c r="F126" s="12"/>
      <c r="G126" s="12"/>
      <c r="H126" s="12"/>
      <c r="I126" s="12"/>
      <c r="J126" s="126"/>
      <c r="K126" s="12"/>
      <c r="L126" s="3"/>
      <c r="U126" s="99"/>
    </row>
    <row r="127" spans="1:21" ht="20.100000000000001" customHeight="1">
      <c r="A127" s="9" t="s">
        <v>5</v>
      </c>
      <c r="B127" s="11" t="s">
        <v>263</v>
      </c>
      <c r="C127" s="11"/>
      <c r="D127" s="11"/>
      <c r="E127" s="11"/>
      <c r="F127" s="11"/>
      <c r="G127" s="11"/>
      <c r="H127" s="11"/>
      <c r="I127" s="10" t="s">
        <v>264</v>
      </c>
      <c r="J127" s="127">
        <v>1.4</v>
      </c>
      <c r="K127" s="93" t="s">
        <v>265</v>
      </c>
      <c r="L127" s="3"/>
      <c r="U127" s="99"/>
    </row>
    <row r="128" spans="1:21" ht="20.100000000000001" customHeight="1">
      <c r="A128" s="9" t="s">
        <v>4</v>
      </c>
      <c r="B128" s="11" t="s">
        <v>259</v>
      </c>
      <c r="C128" s="11"/>
      <c r="D128" s="11"/>
      <c r="E128" s="11"/>
      <c r="F128" s="11"/>
      <c r="G128" s="11"/>
      <c r="H128" s="11"/>
      <c r="I128" s="10" t="s">
        <v>260</v>
      </c>
      <c r="J128" s="97">
        <v>2.1533230192475297</v>
      </c>
      <c r="K128" s="93" t="s">
        <v>8</v>
      </c>
      <c r="L128" s="3"/>
      <c r="U128" s="99"/>
    </row>
    <row r="129" spans="1:21" ht="20.100000000000001" customHeight="1">
      <c r="A129" s="9" t="s">
        <v>3</v>
      </c>
      <c r="B129" s="8" t="s">
        <v>261</v>
      </c>
      <c r="C129" s="8"/>
      <c r="D129" s="8"/>
      <c r="E129" s="8"/>
      <c r="F129" s="8"/>
      <c r="G129" s="8"/>
      <c r="H129" s="8"/>
      <c r="I129" s="7" t="s">
        <v>262</v>
      </c>
      <c r="J129" s="67">
        <v>0.44426272750754392</v>
      </c>
      <c r="K129" s="5" t="s">
        <v>87</v>
      </c>
      <c r="L129" s="3"/>
      <c r="U129" s="99"/>
    </row>
    <row r="130" spans="1:21" ht="20.100000000000001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3"/>
      <c r="U130" s="99"/>
    </row>
    <row r="131" spans="1:21" ht="20.100000000000001" customHeight="1">
      <c r="A131" s="75" t="str">
        <f>$A$124&amp;"."&amp;1</f>
        <v>D.4.1</v>
      </c>
      <c r="B131" s="12" t="s">
        <v>242</v>
      </c>
      <c r="C131" s="12"/>
      <c r="D131" s="12"/>
      <c r="E131" s="12"/>
      <c r="F131" s="12"/>
      <c r="G131" s="12"/>
      <c r="H131" s="12"/>
      <c r="I131" s="12"/>
      <c r="J131" s="12"/>
      <c r="K131" s="12"/>
      <c r="L131" s="3"/>
      <c r="U131" s="99"/>
    </row>
    <row r="132" spans="1:21" ht="20.100000000000001" customHeight="1">
      <c r="A132" s="9" t="s">
        <v>5</v>
      </c>
      <c r="B132" s="8" t="s">
        <v>243</v>
      </c>
      <c r="C132" s="8"/>
      <c r="D132" s="8"/>
      <c r="E132" s="8"/>
      <c r="F132" s="8"/>
      <c r="G132" s="8"/>
      <c r="H132" s="8"/>
      <c r="I132" s="7" t="s">
        <v>244</v>
      </c>
      <c r="J132" s="97">
        <v>2.8707963267948964</v>
      </c>
      <c r="K132" s="5" t="s">
        <v>87</v>
      </c>
      <c r="L132" s="3"/>
      <c r="U132" s="99"/>
    </row>
    <row r="133" spans="1:21" ht="20.100000000000001" customHeight="1">
      <c r="A133" s="9" t="s">
        <v>4</v>
      </c>
      <c r="B133" s="8" t="s">
        <v>245</v>
      </c>
      <c r="C133" s="8"/>
      <c r="D133" s="8"/>
      <c r="E133" s="8"/>
      <c r="F133" s="8"/>
      <c r="G133" s="8"/>
      <c r="H133" s="8"/>
      <c r="I133" s="7" t="s">
        <v>246</v>
      </c>
      <c r="J133" s="152">
        <v>800.98702799963201</v>
      </c>
      <c r="K133" s="5" t="s">
        <v>82</v>
      </c>
      <c r="L133" s="3"/>
      <c r="U133" s="99"/>
    </row>
    <row r="134" spans="1:21" ht="20.100000000000001" customHeight="1">
      <c r="A134" s="9" t="s">
        <v>3</v>
      </c>
      <c r="B134" s="8" t="s">
        <v>286</v>
      </c>
      <c r="C134" s="8"/>
      <c r="D134" s="8"/>
      <c r="E134" s="8"/>
      <c r="F134" s="8"/>
      <c r="G134" s="8"/>
      <c r="H134" s="8"/>
      <c r="I134" s="7" t="s">
        <v>287</v>
      </c>
      <c r="J134" s="98">
        <v>87000.000000000029</v>
      </c>
      <c r="K134" s="5" t="s">
        <v>220</v>
      </c>
      <c r="L134" s="3"/>
      <c r="U134" s="99"/>
    </row>
    <row r="135" spans="1:21" ht="20.100000000000001" customHeight="1">
      <c r="A135" s="9" t="s">
        <v>7</v>
      </c>
      <c r="B135" s="8" t="s">
        <v>288</v>
      </c>
      <c r="C135" s="8"/>
      <c r="D135" s="8"/>
      <c r="E135" s="8"/>
      <c r="F135" s="8"/>
      <c r="G135" s="8"/>
      <c r="H135" s="8"/>
      <c r="I135" s="7" t="s">
        <v>289</v>
      </c>
      <c r="J135" s="151">
        <v>290000000.00000006</v>
      </c>
      <c r="K135" s="5" t="s">
        <v>290</v>
      </c>
      <c r="L135" s="3"/>
      <c r="U135" s="99"/>
    </row>
    <row r="136" spans="1:21" ht="20.100000000000001" customHeight="1">
      <c r="A136" s="9" t="s">
        <v>6</v>
      </c>
      <c r="B136" s="8" t="s">
        <v>247</v>
      </c>
      <c r="C136" s="8"/>
      <c r="D136" s="8"/>
      <c r="E136" s="8"/>
      <c r="F136" s="8"/>
      <c r="G136" s="8"/>
      <c r="H136" s="8"/>
      <c r="I136" s="7" t="s">
        <v>248</v>
      </c>
      <c r="J136" s="152">
        <v>6.1047796945801265</v>
      </c>
      <c r="K136" s="5" t="s">
        <v>82</v>
      </c>
      <c r="L136" s="3"/>
      <c r="U136" s="99"/>
    </row>
    <row r="137" spans="1:21" ht="20.100000000000001" customHeight="1">
      <c r="A137" s="9" t="s">
        <v>32</v>
      </c>
      <c r="B137" s="8" t="s">
        <v>80</v>
      </c>
      <c r="C137" s="8"/>
      <c r="D137" s="8"/>
      <c r="E137" s="8"/>
      <c r="F137" s="8"/>
      <c r="G137" s="8"/>
      <c r="H137" s="8"/>
      <c r="I137" s="7" t="s">
        <v>81</v>
      </c>
      <c r="J137" s="62">
        <v>1775.6019769272668</v>
      </c>
      <c r="K137" s="5" t="s">
        <v>82</v>
      </c>
      <c r="L137" s="3"/>
      <c r="N137" s="119"/>
      <c r="O137" s="119"/>
      <c r="P137" s="119"/>
      <c r="Q137" s="119"/>
      <c r="R137" s="119"/>
      <c r="S137" s="119"/>
    </row>
    <row r="138" spans="1:21" ht="20.100000000000001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3"/>
      <c r="U138" s="99"/>
    </row>
    <row r="139" spans="1:21" ht="20.100000000000001" customHeight="1">
      <c r="A139" s="75" t="str">
        <f>$A$124&amp;"."&amp;2</f>
        <v>D.4.2</v>
      </c>
      <c r="B139" s="126" t="s">
        <v>251</v>
      </c>
      <c r="C139" s="126"/>
      <c r="D139" s="126"/>
      <c r="E139" s="126"/>
      <c r="F139" s="126"/>
      <c r="G139" s="126"/>
      <c r="H139" s="126"/>
      <c r="I139" s="126"/>
      <c r="J139" s="126"/>
      <c r="K139" s="126"/>
      <c r="L139" s="3"/>
      <c r="U139" s="99"/>
    </row>
    <row r="140" spans="1:21" ht="20.100000000000001" customHeight="1">
      <c r="A140" s="9" t="s">
        <v>5</v>
      </c>
      <c r="B140" s="8" t="s">
        <v>252</v>
      </c>
      <c r="C140" s="8"/>
      <c r="D140" s="8"/>
      <c r="E140" s="8"/>
      <c r="F140" s="8"/>
      <c r="G140" s="8"/>
      <c r="H140" s="8"/>
      <c r="I140" s="7" t="s">
        <v>253</v>
      </c>
      <c r="J140" s="67">
        <v>0.44780288335598617</v>
      </c>
      <c r="K140" s="5" t="s">
        <v>8</v>
      </c>
      <c r="L140" s="3"/>
      <c r="U140" s="99"/>
    </row>
    <row r="141" spans="1:21" ht="20.100000000000001" customHeight="1">
      <c r="A141" s="9" t="s">
        <v>4</v>
      </c>
      <c r="B141" s="8" t="s">
        <v>249</v>
      </c>
      <c r="C141" s="8"/>
      <c r="D141" s="8"/>
      <c r="E141" s="8"/>
      <c r="F141" s="8"/>
      <c r="G141" s="8"/>
      <c r="H141" s="8"/>
      <c r="I141" s="7" t="s">
        <v>250</v>
      </c>
      <c r="J141" s="62">
        <v>15953.93930994537</v>
      </c>
      <c r="K141" s="5" t="s">
        <v>82</v>
      </c>
      <c r="L141" s="3"/>
      <c r="U141" s="99"/>
    </row>
    <row r="142" spans="1:21" ht="20.100000000000001" customHeight="1">
      <c r="A142" s="9" t="s">
        <v>3</v>
      </c>
      <c r="B142" s="8" t="s">
        <v>85</v>
      </c>
      <c r="C142" s="8"/>
      <c r="D142" s="8"/>
      <c r="E142" s="8"/>
      <c r="F142" s="8"/>
      <c r="G142" s="8"/>
      <c r="H142" s="8"/>
      <c r="I142" s="82" t="s">
        <v>86</v>
      </c>
      <c r="J142" s="6">
        <v>1.111295520337124</v>
      </c>
      <c r="K142" s="5" t="s">
        <v>87</v>
      </c>
      <c r="L142" s="3"/>
    </row>
    <row r="143" spans="1:21" ht="20.100000000000001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3"/>
      <c r="U143" s="99"/>
    </row>
    <row r="144" spans="1:21" ht="20.100000000000001" customHeight="1">
      <c r="A144" s="75" t="str">
        <f>$A$124&amp;"."&amp;3</f>
        <v>D.4.3</v>
      </c>
      <c r="B144" s="12" t="s">
        <v>254</v>
      </c>
      <c r="C144" s="12"/>
      <c r="D144" s="12"/>
      <c r="E144" s="12"/>
      <c r="F144" s="12"/>
      <c r="G144" s="12"/>
      <c r="H144" s="12"/>
      <c r="I144" s="12"/>
      <c r="J144" s="12"/>
      <c r="K144" s="12"/>
      <c r="L144" s="3"/>
      <c r="U144" s="99"/>
    </row>
    <row r="145" spans="1:21" ht="20.100000000000001" customHeight="1">
      <c r="A145" s="9" t="s">
        <v>5</v>
      </c>
      <c r="B145" s="8" t="s">
        <v>74</v>
      </c>
      <c r="C145" s="8"/>
      <c r="D145" s="8"/>
      <c r="E145" s="8"/>
      <c r="F145" s="8"/>
      <c r="G145" s="8"/>
      <c r="H145" s="8"/>
      <c r="I145" s="7" t="s">
        <v>75</v>
      </c>
      <c r="J145" s="62">
        <v>2068.2520235998149</v>
      </c>
      <c r="K145" s="5" t="s">
        <v>9</v>
      </c>
      <c r="L145" s="3"/>
      <c r="U145" s="101"/>
    </row>
    <row r="146" spans="1:21" ht="20.100000000000001" customHeight="1">
      <c r="A146" s="9" t="s">
        <v>4</v>
      </c>
      <c r="B146" s="8" t="s">
        <v>76</v>
      </c>
      <c r="C146" s="8"/>
      <c r="D146" s="8"/>
      <c r="E146" s="8"/>
      <c r="F146" s="8"/>
      <c r="G146" s="8"/>
      <c r="H146" s="8"/>
      <c r="I146" s="7" t="s">
        <v>77</v>
      </c>
      <c r="J146" s="62">
        <v>1386.6792905300804</v>
      </c>
      <c r="K146" s="5" t="s">
        <v>9</v>
      </c>
      <c r="L146" s="3"/>
      <c r="U146" s="101"/>
    </row>
    <row r="147" spans="1:21" ht="20.100000000000001" customHeight="1">
      <c r="A147" s="9" t="s">
        <v>3</v>
      </c>
      <c r="B147" s="8" t="s">
        <v>329</v>
      </c>
      <c r="C147" s="8"/>
      <c r="D147" s="8"/>
      <c r="E147" s="8"/>
      <c r="F147" s="8"/>
      <c r="G147" s="8"/>
      <c r="H147" s="8"/>
      <c r="I147" s="81" t="s">
        <v>330</v>
      </c>
      <c r="J147" s="62">
        <v>0</v>
      </c>
      <c r="K147" s="5" t="s">
        <v>9</v>
      </c>
      <c r="L147" s="3"/>
      <c r="U147" s="101"/>
    </row>
    <row r="148" spans="1:21" ht="20.100000000000001" customHeight="1">
      <c r="A148" s="9" t="s">
        <v>7</v>
      </c>
      <c r="B148" s="8" t="s">
        <v>83</v>
      </c>
      <c r="C148" s="8"/>
      <c r="D148" s="8"/>
      <c r="E148" s="8"/>
      <c r="F148" s="8"/>
      <c r="G148" s="8"/>
      <c r="H148" s="8"/>
      <c r="I148" s="81" t="s">
        <v>84</v>
      </c>
      <c r="J148" s="62">
        <v>-681.57273306973468</v>
      </c>
      <c r="K148" s="5" t="s">
        <v>9</v>
      </c>
      <c r="L148" s="3"/>
    </row>
    <row r="149" spans="1:21" ht="20.100000000000001" customHeight="1">
      <c r="A149" s="9" t="s">
        <v>6</v>
      </c>
      <c r="B149" s="8" t="s">
        <v>332</v>
      </c>
      <c r="C149" s="8"/>
      <c r="D149" s="8"/>
      <c r="E149" s="8"/>
      <c r="F149" s="8"/>
      <c r="G149" s="8"/>
      <c r="H149" s="8"/>
      <c r="I149" s="81" t="s">
        <v>333</v>
      </c>
      <c r="J149" s="62">
        <v>-681.57273306973468</v>
      </c>
      <c r="K149" s="5" t="s">
        <v>9</v>
      </c>
      <c r="L149" s="3"/>
    </row>
    <row r="150" spans="1:21" ht="20.100000000000001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3"/>
      <c r="U150" s="99"/>
    </row>
    <row r="151" spans="1:21" ht="20.100000000000001" customHeight="1">
      <c r="A151" s="75" t="str">
        <f>$A$124&amp;"."&amp;4</f>
        <v>D.4.4</v>
      </c>
      <c r="B151" s="12" t="s">
        <v>256</v>
      </c>
      <c r="C151" s="12"/>
      <c r="D151" s="12"/>
      <c r="E151" s="12"/>
      <c r="F151" s="12"/>
      <c r="G151" s="12"/>
      <c r="H151" s="12"/>
      <c r="I151" s="12"/>
      <c r="J151" s="12"/>
      <c r="K151" s="12"/>
      <c r="L151" s="3"/>
      <c r="U151" s="99"/>
    </row>
    <row r="152" spans="1:21" ht="20.100000000000001" customHeight="1">
      <c r="A152" s="9" t="s">
        <v>5</v>
      </c>
      <c r="B152" s="8" t="s">
        <v>88</v>
      </c>
      <c r="C152" s="8"/>
      <c r="D152" s="8"/>
      <c r="E152" s="8"/>
      <c r="F152" s="8"/>
      <c r="G152" s="8"/>
      <c r="H152" s="8"/>
      <c r="I152" s="81" t="s">
        <v>89</v>
      </c>
      <c r="J152" s="67">
        <v>6.7446785000954662E-2</v>
      </c>
      <c r="K152" s="5" t="s">
        <v>87</v>
      </c>
      <c r="L152" s="3"/>
    </row>
    <row r="153" spans="1:21" ht="20.100000000000001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3"/>
      <c r="U153" s="99"/>
    </row>
    <row r="154" spans="1:21" ht="20.100000000000001" customHeight="1">
      <c r="A154" s="75" t="str">
        <f>$A$124&amp;"."&amp;5</f>
        <v>D.4.5</v>
      </c>
      <c r="B154" s="12" t="s">
        <v>257</v>
      </c>
      <c r="C154" s="12"/>
      <c r="D154" s="12"/>
      <c r="E154" s="12"/>
      <c r="F154" s="12"/>
      <c r="G154" s="12"/>
      <c r="H154" s="12"/>
      <c r="I154" s="12"/>
      <c r="J154" s="12"/>
      <c r="K154" s="12"/>
      <c r="L154" s="3"/>
      <c r="M154" s="70" t="s">
        <v>235</v>
      </c>
      <c r="N154" s="78" t="s">
        <v>228</v>
      </c>
      <c r="O154" s="78">
        <v>1</v>
      </c>
      <c r="P154" s="78" t="s">
        <v>229</v>
      </c>
      <c r="Q154" s="78" t="s">
        <v>230</v>
      </c>
      <c r="R154" s="78" t="s">
        <v>231</v>
      </c>
      <c r="S154" s="78" t="s">
        <v>232</v>
      </c>
      <c r="U154" s="99"/>
    </row>
    <row r="155" spans="1:21" ht="20.100000000000001" customHeight="1">
      <c r="A155" s="9" t="s">
        <v>5</v>
      </c>
      <c r="B155" s="8" t="s">
        <v>223</v>
      </c>
      <c r="C155" s="8"/>
      <c r="D155" s="8"/>
      <c r="E155" s="8"/>
      <c r="F155" s="8"/>
      <c r="G155" s="8"/>
      <c r="H155" s="8"/>
      <c r="I155" s="7" t="s">
        <v>236</v>
      </c>
      <c r="J155" s="62">
        <v>1710.5339527007882</v>
      </c>
      <c r="K155" s="5" t="s">
        <v>224</v>
      </c>
      <c r="L155" s="3"/>
      <c r="M155" s="70" t="s">
        <v>234</v>
      </c>
      <c r="N155" s="102"/>
      <c r="O155" s="102"/>
      <c r="P155" s="102"/>
      <c r="Q155" s="102"/>
      <c r="R155" s="102"/>
      <c r="S155" s="122">
        <f>1/bolt.axial_stiffness</f>
        <v>5.846127745205436E-4</v>
      </c>
      <c r="T155" s="1" t="s">
        <v>226</v>
      </c>
      <c r="U155" s="99"/>
    </row>
    <row r="156" spans="1:21" ht="20.100000000000001" customHeight="1">
      <c r="A156" s="9" t="s">
        <v>4</v>
      </c>
      <c r="B156" s="8" t="s">
        <v>78</v>
      </c>
      <c r="C156" s="8"/>
      <c r="D156" s="8"/>
      <c r="E156" s="8"/>
      <c r="F156" s="8"/>
      <c r="G156" s="8"/>
      <c r="H156" s="8"/>
      <c r="I156" s="7" t="s">
        <v>238</v>
      </c>
      <c r="J156" s="62">
        <v>600.85776552878792</v>
      </c>
      <c r="K156" s="5" t="s">
        <v>79</v>
      </c>
      <c r="L156" s="3"/>
      <c r="M156" s="70" t="s">
        <v>233</v>
      </c>
      <c r="N156" s="120">
        <v>94.734999999999999</v>
      </c>
      <c r="O156" s="120">
        <v>780.97299999999996</v>
      </c>
      <c r="P156" s="120">
        <v>452.98</v>
      </c>
      <c r="Q156" s="120">
        <v>139.38</v>
      </c>
      <c r="R156" s="120">
        <v>75.787999999999997</v>
      </c>
      <c r="S156" s="121">
        <f>1/(bolt.bending_stiffness/1000000)</f>
        <v>1664.2873860837014</v>
      </c>
      <c r="T156" s="1" t="s">
        <v>225</v>
      </c>
      <c r="U156" s="99"/>
    </row>
    <row r="157" spans="1:21" ht="20.100000000000001" customHeight="1">
      <c r="A157" s="9" t="s">
        <v>3</v>
      </c>
      <c r="B157" s="8" t="s">
        <v>285</v>
      </c>
      <c r="C157" s="8"/>
      <c r="D157" s="8"/>
      <c r="E157" s="8"/>
      <c r="F157" s="8"/>
      <c r="G157" s="8"/>
      <c r="H157" s="8"/>
      <c r="I157" s="7" t="s">
        <v>221</v>
      </c>
      <c r="J157" s="62">
        <v>4344.0537979949813</v>
      </c>
      <c r="K157" s="5" t="s">
        <v>220</v>
      </c>
      <c r="L157" s="3"/>
      <c r="N157" s="133">
        <v>94.7</v>
      </c>
      <c r="O157" s="133">
        <v>781</v>
      </c>
      <c r="P157" s="133">
        <v>453</v>
      </c>
      <c r="Q157" s="133">
        <v>139</v>
      </c>
      <c r="R157" s="133">
        <v>75.8</v>
      </c>
      <c r="U157" s="99"/>
    </row>
    <row r="158" spans="1:21" ht="20.100000000000001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3"/>
      <c r="U158" s="99"/>
    </row>
    <row r="159" spans="1:21" ht="20.100000000000001" customHeight="1">
      <c r="A159" s="75" t="str">
        <f>$A$124&amp;"."&amp;6</f>
        <v>D.4.6</v>
      </c>
      <c r="B159" s="12" t="s">
        <v>241</v>
      </c>
      <c r="C159" s="12"/>
      <c r="D159" s="12"/>
      <c r="E159" s="12"/>
      <c r="F159" s="12"/>
      <c r="G159" s="12"/>
      <c r="H159" s="12"/>
      <c r="I159" s="12"/>
      <c r="J159" s="12"/>
      <c r="K159" s="12"/>
      <c r="L159" s="3"/>
      <c r="U159" s="99"/>
    </row>
    <row r="160" spans="1:21" ht="20.100000000000001" customHeight="1">
      <c r="A160" s="9" t="s">
        <v>5</v>
      </c>
      <c r="B160" s="11" t="s">
        <v>239</v>
      </c>
      <c r="C160" s="11"/>
      <c r="D160" s="11"/>
      <c r="E160" s="11"/>
      <c r="F160" s="11"/>
      <c r="G160" s="11"/>
      <c r="H160" s="11"/>
      <c r="I160" s="10" t="s">
        <v>240</v>
      </c>
      <c r="J160" s="92">
        <v>119.99999999999999</v>
      </c>
      <c r="K160" s="93" t="s">
        <v>217</v>
      </c>
      <c r="L160" s="3"/>
      <c r="U160" s="99"/>
    </row>
    <row r="161" spans="1:21" ht="20.100000000000001" customHeight="1">
      <c r="A161" s="9" t="s">
        <v>4</v>
      </c>
      <c r="B161" s="8" t="s">
        <v>72</v>
      </c>
      <c r="C161" s="8"/>
      <c r="D161" s="8"/>
      <c r="E161" s="8"/>
      <c r="F161" s="8"/>
      <c r="G161" s="8"/>
      <c r="H161" s="8"/>
      <c r="I161" s="7" t="s">
        <v>73</v>
      </c>
      <c r="J161" s="64">
        <v>225.55390100553569</v>
      </c>
      <c r="K161" s="5" t="s">
        <v>8</v>
      </c>
      <c r="L161" s="3"/>
      <c r="U161" s="100"/>
    </row>
    <row r="162" spans="1:21" ht="20.100000000000001" customHeight="1">
      <c r="A162" s="9" t="s">
        <v>3</v>
      </c>
      <c r="B162" s="8" t="s">
        <v>299</v>
      </c>
      <c r="C162" s="8"/>
      <c r="D162" s="8"/>
      <c r="E162" s="8"/>
      <c r="F162" s="8"/>
      <c r="G162" s="8"/>
      <c r="H162" s="8"/>
      <c r="I162" s="7" t="s">
        <v>298</v>
      </c>
      <c r="J162" s="64">
        <v>112.77695050276785</v>
      </c>
      <c r="K162" s="5" t="s">
        <v>8</v>
      </c>
      <c r="L162" s="3"/>
      <c r="U162" s="100"/>
    </row>
    <row r="163" spans="1:21" ht="20.100000000000001" customHeight="1">
      <c r="A163" s="9" t="s">
        <v>7</v>
      </c>
      <c r="B163" s="8" t="s">
        <v>300</v>
      </c>
      <c r="C163" s="8"/>
      <c r="D163" s="8"/>
      <c r="E163" s="8"/>
      <c r="F163" s="8"/>
      <c r="G163" s="8"/>
      <c r="H163" s="8"/>
      <c r="I163" s="7" t="s">
        <v>301</v>
      </c>
      <c r="J163" s="151">
        <v>129398710.74285959</v>
      </c>
      <c r="K163" s="5" t="s">
        <v>290</v>
      </c>
      <c r="L163" s="3"/>
      <c r="U163" s="100"/>
    </row>
    <row r="164" spans="1:21" ht="20.100000000000001" customHeight="1">
      <c r="A164" s="9" t="s">
        <v>6</v>
      </c>
      <c r="B164" s="8" t="s">
        <v>227</v>
      </c>
      <c r="C164" s="8"/>
      <c r="D164" s="8"/>
      <c r="E164" s="8"/>
      <c r="F164" s="8"/>
      <c r="G164" s="8"/>
      <c r="H164" s="8"/>
      <c r="I164" s="7" t="s">
        <v>237</v>
      </c>
      <c r="J164" s="92">
        <v>10310.000230734646</v>
      </c>
      <c r="K164" s="5" t="s">
        <v>224</v>
      </c>
      <c r="L164" s="3"/>
      <c r="N164" s="123"/>
      <c r="O164" s="123"/>
      <c r="P164" s="123"/>
      <c r="Q164" s="123"/>
      <c r="R164" s="123"/>
      <c r="S164" s="124"/>
    </row>
    <row r="165" spans="1:21" ht="20.100000000000001" customHeight="1">
      <c r="A165" s="9" t="s">
        <v>32</v>
      </c>
      <c r="B165" s="17" t="s">
        <v>90</v>
      </c>
      <c r="C165" s="17"/>
      <c r="D165" s="17"/>
      <c r="E165" s="17"/>
      <c r="F165" s="17"/>
      <c r="G165" s="17"/>
      <c r="H165" s="17"/>
      <c r="I165" s="83" t="s">
        <v>91</v>
      </c>
      <c r="J165" s="84">
        <v>6.549712079897102E-3</v>
      </c>
      <c r="K165" s="15" t="s">
        <v>87</v>
      </c>
      <c r="L165" s="3"/>
    </row>
    <row r="166" spans="1:21" ht="20.100000000000001" customHeight="1">
      <c r="A166" s="9" t="s">
        <v>35</v>
      </c>
      <c r="B166" s="8" t="s">
        <v>92</v>
      </c>
      <c r="C166" s="8"/>
      <c r="D166" s="8"/>
      <c r="E166" s="8"/>
      <c r="F166" s="8"/>
      <c r="G166" s="8"/>
      <c r="H166" s="8"/>
      <c r="I166" s="7" t="s">
        <v>93</v>
      </c>
      <c r="J166" s="66">
        <v>0.26947902249022071</v>
      </c>
      <c r="K166" s="5" t="s">
        <v>87</v>
      </c>
      <c r="L166" s="3"/>
    </row>
    <row r="167" spans="1:21" ht="20.100000000000001" customHeight="1">
      <c r="A167" s="9"/>
      <c r="B167" s="58"/>
      <c r="C167" s="58"/>
      <c r="D167" s="58"/>
      <c r="E167" s="58"/>
      <c r="F167" s="58"/>
      <c r="G167" s="58"/>
      <c r="H167" s="58"/>
      <c r="I167" s="59"/>
      <c r="J167" s="125"/>
      <c r="K167" s="60"/>
      <c r="L167" s="3"/>
    </row>
    <row r="168" spans="1:21" ht="20.100000000000001" customHeight="1">
      <c r="A168" s="9"/>
      <c r="B168" s="58"/>
      <c r="C168" s="58"/>
      <c r="D168" s="58"/>
      <c r="E168" s="58"/>
      <c r="F168" s="58"/>
      <c r="G168" s="58"/>
      <c r="H168" s="58"/>
      <c r="I168" s="59"/>
      <c r="J168" s="125"/>
      <c r="K168" s="60"/>
      <c r="L168" s="3"/>
    </row>
    <row r="169" spans="1:21" ht="20.100000000000001" customHeight="1">
      <c r="A169" s="9"/>
      <c r="B169" s="58"/>
      <c r="C169" s="58"/>
      <c r="D169" s="58"/>
      <c r="E169" s="58"/>
      <c r="F169" s="58"/>
      <c r="G169" s="58"/>
      <c r="H169" s="58"/>
      <c r="I169" s="59"/>
      <c r="J169" s="125"/>
      <c r="K169" s="60"/>
      <c r="L169" s="3"/>
    </row>
    <row r="170" spans="1:21" ht="20.100000000000001" customHeight="1">
      <c r="A170" s="9"/>
      <c r="B170" s="58"/>
      <c r="C170" s="58"/>
      <c r="D170" s="58"/>
      <c r="E170" s="58"/>
      <c r="F170" s="58"/>
      <c r="G170" s="58"/>
      <c r="H170" s="58"/>
      <c r="I170" s="59"/>
      <c r="J170" s="125"/>
      <c r="K170" s="60"/>
      <c r="L170" s="3"/>
    </row>
    <row r="171" spans="1:21" ht="20.100000000000001" customHeight="1">
      <c r="A171" s="9"/>
      <c r="B171" s="58"/>
      <c r="C171" s="58"/>
      <c r="D171" s="58"/>
      <c r="E171" s="58"/>
      <c r="F171" s="58"/>
      <c r="G171" s="58"/>
      <c r="H171" s="58"/>
      <c r="I171" s="59"/>
      <c r="J171" s="125"/>
      <c r="K171" s="60"/>
      <c r="L171" s="3"/>
    </row>
    <row r="172" spans="1:21" ht="20.100000000000001" customHeight="1">
      <c r="A172" s="9"/>
      <c r="B172" s="58"/>
      <c r="C172" s="58"/>
      <c r="D172" s="58"/>
      <c r="E172" s="58"/>
      <c r="F172" s="58"/>
      <c r="G172" s="58"/>
      <c r="H172" s="58"/>
      <c r="I172" s="59"/>
      <c r="J172" s="125"/>
      <c r="K172" s="60"/>
      <c r="L172" s="3"/>
    </row>
    <row r="173" spans="1:21" ht="20.100000000000001" customHeight="1">
      <c r="A173" s="9"/>
      <c r="B173" s="58"/>
      <c r="C173" s="58"/>
      <c r="D173" s="58"/>
      <c r="E173" s="58"/>
      <c r="F173" s="58"/>
      <c r="G173" s="58"/>
      <c r="H173" s="58"/>
      <c r="I173" s="59"/>
      <c r="J173" s="125"/>
      <c r="K173" s="60"/>
      <c r="L173" s="3"/>
    </row>
    <row r="174" spans="1:21" ht="20.100000000000001" customHeight="1">
      <c r="A174" s="9"/>
      <c r="B174" s="58"/>
      <c r="C174" s="58"/>
      <c r="D174" s="58"/>
      <c r="E174" s="58"/>
      <c r="F174" s="58"/>
      <c r="G174" s="58"/>
      <c r="H174" s="58"/>
      <c r="I174" s="59"/>
      <c r="J174" s="63"/>
      <c r="K174" s="60"/>
      <c r="L174" s="3"/>
    </row>
    <row r="175" spans="1:21" ht="20.100000000000001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3"/>
    </row>
    <row r="176" spans="1:21" ht="20.100000000000001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3"/>
    </row>
    <row r="180" spans="2:4" ht="13.2">
      <c r="B180" s="69"/>
      <c r="C180" s="69"/>
      <c r="D180" s="69"/>
    </row>
  </sheetData>
  <mergeCells count="20">
    <mergeCell ref="B28:K28"/>
    <mergeCell ref="B16:C16"/>
    <mergeCell ref="D16:K16"/>
    <mergeCell ref="B17:C17"/>
    <mergeCell ref="D17:K17"/>
    <mergeCell ref="B18:C18"/>
    <mergeCell ref="D18:K18"/>
    <mergeCell ref="B15:C15"/>
    <mergeCell ref="D15:K15"/>
    <mergeCell ref="A3:K3"/>
    <mergeCell ref="B4:G4"/>
    <mergeCell ref="B5:G5"/>
    <mergeCell ref="B6:G6"/>
    <mergeCell ref="B7:G7"/>
    <mergeCell ref="B8:G8"/>
    <mergeCell ref="B9:G9"/>
    <mergeCell ref="B13:C13"/>
    <mergeCell ref="D13:K13"/>
    <mergeCell ref="B14:C14"/>
    <mergeCell ref="D14:K14"/>
  </mergeCells>
  <conditionalFormatting sqref="K64">
    <cfRule type="cellIs" dxfId="18" priority="3" stopIfTrue="1" operator="between">
      <formula>0</formula>
      <formula>1</formula>
    </cfRule>
  </conditionalFormatting>
  <conditionalFormatting sqref="K94">
    <cfRule type="cellIs" dxfId="17" priority="2" stopIfTrue="1" operator="between">
      <formula>0</formula>
      <formula>1</formula>
    </cfRule>
  </conditionalFormatting>
  <conditionalFormatting sqref="K124">
    <cfRule type="cellIs" dxfId="16" priority="1" stopIfTrue="1" operator="between">
      <formula>0</formula>
      <formula>1</formula>
    </cfRule>
  </conditionalFormatting>
  <printOptions horizontalCentered="1"/>
  <pageMargins left="0.75" right="0.75" top="0.75" bottom="0.5" header="0.3" footer="0.3"/>
  <pageSetup paperSize="9" scale="80" fitToHeight="0" orientation="portrait" r:id="rId1"/>
  <headerFooter>
    <oddHeader>&amp;L&amp;G&amp;C&amp;"Consolas,Bold"&amp;10&amp;K00-047TITLE&amp;R&amp;"Consolas,Bold"&amp;10&amp;K00-048Rev. X</oddHeader>
    <oddFooter>&amp;R&amp;"Consolas,Bold"&amp;10&amp;K00-048Page &amp;P of &amp;N</oddFooter>
  </headerFooter>
  <drawing r:id="rId2"/>
  <legacyDrawingHF r:id="rId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E0C33B-3A47-45F1-AB71-67A51F114D32}">
  <sheetPr codeName="Tabelle12"/>
  <dimension ref="B2:AG135"/>
  <sheetViews>
    <sheetView showGridLines="0" tabSelected="1" zoomScaleNormal="100" workbookViewId="0">
      <selection activeCell="G21" sqref="G21"/>
    </sheetView>
  </sheetViews>
  <sheetFormatPr defaultColWidth="11.5546875" defaultRowHeight="13.2"/>
  <cols>
    <col min="1" max="1" width="2.6640625" customWidth="1"/>
    <col min="3" max="4" width="14.88671875" customWidth="1"/>
    <col min="5" max="7" width="16.88671875" customWidth="1"/>
    <col min="8" max="8" width="66.44140625" bestFit="1" customWidth="1"/>
    <col min="10" max="10" width="0" hidden="1" customWidth="1"/>
  </cols>
  <sheetData>
    <row r="2" spans="2:14">
      <c r="B2" s="117" t="s">
        <v>216</v>
      </c>
      <c r="N2" s="117" t="s">
        <v>284</v>
      </c>
    </row>
    <row r="4" spans="2:14">
      <c r="B4" s="117" t="s">
        <v>283</v>
      </c>
    </row>
    <row r="20" spans="2:33" ht="13.8">
      <c r="G20" s="134" t="s">
        <v>291</v>
      </c>
    </row>
    <row r="21" spans="2:33" ht="18">
      <c r="G21" s="135">
        <v>30</v>
      </c>
    </row>
    <row r="22" spans="2:33">
      <c r="G22" s="136">
        <f>MATCH(gap_angle,N48:Q48,0)</f>
        <v>1</v>
      </c>
    </row>
    <row r="23" spans="2:33">
      <c r="G23" s="136" t="str">
        <f>"Gap"&amp;gap_angle&amp;"deg"</f>
        <v>Gap30deg</v>
      </c>
    </row>
    <row r="26" spans="2:33">
      <c r="B26" s="116" t="s">
        <v>215</v>
      </c>
      <c r="C26" s="116" t="s">
        <v>214</v>
      </c>
      <c r="D26" s="116" t="s">
        <v>213</v>
      </c>
      <c r="E26" s="116" t="s">
        <v>218</v>
      </c>
      <c r="F26" s="116" t="s">
        <v>219</v>
      </c>
      <c r="G26" s="116" t="s">
        <v>222</v>
      </c>
      <c r="H26" s="116" t="s">
        <v>212</v>
      </c>
      <c r="I26" s="115"/>
      <c r="J26" s="115"/>
      <c r="K26" s="116" t="s">
        <v>215</v>
      </c>
      <c r="L26" s="116" t="s">
        <v>214</v>
      </c>
      <c r="M26" s="116" t="s">
        <v>213</v>
      </c>
      <c r="N26" s="116" t="s">
        <v>282</v>
      </c>
      <c r="O26" s="116" t="s">
        <v>281</v>
      </c>
      <c r="P26" s="116" t="s">
        <v>280</v>
      </c>
      <c r="Q26" s="116" t="s">
        <v>279</v>
      </c>
      <c r="Z26" s="116" t="s">
        <v>215</v>
      </c>
      <c r="AA26" s="116" t="s">
        <v>214</v>
      </c>
      <c r="AB26" s="116" t="s">
        <v>213</v>
      </c>
      <c r="AC26" s="116" t="s">
        <v>282</v>
      </c>
      <c r="AD26" s="116" t="s">
        <v>281</v>
      </c>
      <c r="AE26" s="116" t="s">
        <v>280</v>
      </c>
      <c r="AF26" s="116" t="s">
        <v>279</v>
      </c>
    </row>
    <row r="27" spans="2:33" ht="15.6">
      <c r="B27" s="106">
        <v>1</v>
      </c>
      <c r="C27" s="103" t="s">
        <v>199</v>
      </c>
      <c r="E27" s="104"/>
      <c r="F27" s="107" t="s">
        <v>87</v>
      </c>
      <c r="G27" s="104"/>
      <c r="H27" t="s">
        <v>211</v>
      </c>
      <c r="I27" s="140"/>
      <c r="K27" s="106">
        <v>1</v>
      </c>
      <c r="L27" s="103" t="s">
        <v>199</v>
      </c>
      <c r="N27" s="104"/>
      <c r="O27" s="104"/>
      <c r="P27" s="104"/>
      <c r="Q27" s="104"/>
      <c r="R27" t="str">
        <f t="shared" ref="R27:R66" si="0">IF(H27&lt;&gt;"",H27,"")</f>
        <v>Simplified formula used, therefore not evaluated</v>
      </c>
      <c r="Z27" s="106">
        <v>1</v>
      </c>
      <c r="AA27" s="103" t="s">
        <v>334</v>
      </c>
      <c r="AC27" s="104"/>
      <c r="AD27" s="104"/>
      <c r="AE27" s="104"/>
      <c r="AF27" s="104"/>
      <c r="AG27" t="s">
        <v>211</v>
      </c>
    </row>
    <row r="28" spans="2:33" ht="15.6">
      <c r="B28" s="106">
        <f>B27+1</f>
        <v>2</v>
      </c>
      <c r="C28" s="105" t="s">
        <v>210</v>
      </c>
      <c r="D28" s="103" t="s">
        <v>129</v>
      </c>
      <c r="E28" s="107" cm="1">
        <f t="array" ref="E28">INDEX(N28:Q28,case_number)</f>
        <v>153.74071147146736</v>
      </c>
      <c r="F28" s="107" t="s">
        <v>87</v>
      </c>
      <c r="G28" s="107"/>
      <c r="H28" t="s">
        <v>209</v>
      </c>
      <c r="I28" s="141"/>
      <c r="K28" s="106">
        <f>K27+1</f>
        <v>2</v>
      </c>
      <c r="L28" s="105" t="s">
        <v>210</v>
      </c>
      <c r="M28" s="103" t="s">
        <v>129</v>
      </c>
      <c r="N28" s="107">
        <v>153.74071147146736</v>
      </c>
      <c r="O28" s="107">
        <v>153.74071147146736</v>
      </c>
      <c r="P28" s="107">
        <v>153.74071147146736</v>
      </c>
      <c r="Q28" s="107">
        <v>153.74071147146736</v>
      </c>
      <c r="R28" t="str">
        <f t="shared" si="0"/>
        <v>Simplified formula used, therefore not used directly (but reported here for info)</v>
      </c>
      <c r="Z28" s="106">
        <v>2</v>
      </c>
      <c r="AA28" s="105" t="s">
        <v>335</v>
      </c>
      <c r="AB28" s="103" t="s">
        <v>129</v>
      </c>
      <c r="AC28" s="107">
        <v>47.288017719282664</v>
      </c>
      <c r="AD28" s="107">
        <v>47.288017719282664</v>
      </c>
      <c r="AE28" s="107">
        <v>47.288017719282664</v>
      </c>
      <c r="AF28" s="107">
        <v>47.288017719282664</v>
      </c>
      <c r="AG28" t="s">
        <v>209</v>
      </c>
    </row>
    <row r="29" spans="2:33" ht="15.6">
      <c r="B29" s="106"/>
      <c r="C29" s="105" t="s">
        <v>208</v>
      </c>
      <c r="D29" s="103" t="s">
        <v>207</v>
      </c>
      <c r="E29" s="107" cm="1">
        <f t="array" ref="E29">INDEX(N29:Q29,case_number)</f>
        <v>900</v>
      </c>
      <c r="F29" s="107" cm="1">
        <f t="array" aca="1" ref="F29" ca="1">INDIRECT(sheet_name&amp;"!bolt.fy")</f>
        <v>900</v>
      </c>
      <c r="G29" s="118">
        <f ca="1">(F29-E29)/E29</f>
        <v>0</v>
      </c>
      <c r="H29" t="s">
        <v>206</v>
      </c>
      <c r="I29" s="141"/>
      <c r="K29" s="106"/>
      <c r="L29" s="105" t="s">
        <v>208</v>
      </c>
      <c r="M29" s="103" t="s">
        <v>207</v>
      </c>
      <c r="N29" s="107">
        <v>900</v>
      </c>
      <c r="O29" s="107">
        <v>900</v>
      </c>
      <c r="P29" s="107">
        <v>900</v>
      </c>
      <c r="Q29" s="107">
        <v>900</v>
      </c>
      <c r="R29" t="str">
        <f t="shared" si="0"/>
        <v>Nominal yield strength (0.2% strain limit) for 10.9 bolts</v>
      </c>
      <c r="Z29" s="106"/>
      <c r="AA29" s="105" t="s">
        <v>336</v>
      </c>
      <c r="AB29" s="103" t="s">
        <v>207</v>
      </c>
      <c r="AC29" s="107">
        <v>900</v>
      </c>
      <c r="AD29" s="107">
        <v>900</v>
      </c>
      <c r="AE29" s="107">
        <v>900</v>
      </c>
      <c r="AF29" s="107">
        <v>900</v>
      </c>
      <c r="AG29" t="s">
        <v>206</v>
      </c>
    </row>
    <row r="30" spans="2:33" ht="15.6">
      <c r="B30" s="106"/>
      <c r="C30" s="105" t="s">
        <v>205</v>
      </c>
      <c r="D30" s="103" t="s">
        <v>145</v>
      </c>
      <c r="E30" s="107" cm="1">
        <f t="array" ref="E30">INDEX(N30:Q30,case_number)</f>
        <v>4344.0716042398344</v>
      </c>
      <c r="F30" s="107" cm="1">
        <f t="array" aca="1" ref="F30" ca="1">INDIRECT(sheet_name&amp;"!bolt.As")</f>
        <v>4344.0537979949813</v>
      </c>
      <c r="G30" s="118">
        <f ca="1">(F30-E30)/E30</f>
        <v>-4.0989759090784605E-6</v>
      </c>
      <c r="I30" s="141"/>
      <c r="K30" s="106"/>
      <c r="L30" s="105" t="s">
        <v>205</v>
      </c>
      <c r="M30" s="103" t="s">
        <v>145</v>
      </c>
      <c r="N30" s="107">
        <v>4344.0716042398344</v>
      </c>
      <c r="O30" s="107">
        <v>4344.0716042398344</v>
      </c>
      <c r="P30" s="107">
        <v>4344.0716042398344</v>
      </c>
      <c r="Q30" s="107">
        <v>4344.0716042398344</v>
      </c>
      <c r="R30" t="str">
        <f t="shared" si="0"/>
        <v/>
      </c>
      <c r="Z30" s="106"/>
      <c r="AA30" s="105" t="s">
        <v>337</v>
      </c>
      <c r="AB30" s="103" t="s">
        <v>145</v>
      </c>
      <c r="AC30" s="107">
        <v>1473.1579837133568</v>
      </c>
      <c r="AD30" s="107">
        <v>1473.1579837133568</v>
      </c>
      <c r="AE30" s="107">
        <v>1473.1579837133568</v>
      </c>
      <c r="AF30" s="107">
        <v>1473.1579837133568</v>
      </c>
      <c r="AG30" t="s">
        <v>338</v>
      </c>
    </row>
    <row r="31" spans="2:33" ht="15.6">
      <c r="B31" s="106">
        <f>B28+1</f>
        <v>3</v>
      </c>
      <c r="C31" s="103" t="s">
        <v>199</v>
      </c>
      <c r="D31" s="103" t="s">
        <v>129</v>
      </c>
      <c r="E31" s="107" cm="1">
        <f t="array" ref="E31">INDEX(N31:Q31,case_number)</f>
        <v>2876</v>
      </c>
      <c r="F31" s="107" cm="1">
        <f t="array" aca="1" ref="F31" ca="1">INDIRECT(sheet_name&amp;"!bolt.pretension")</f>
        <v>2876</v>
      </c>
      <c r="G31" s="118">
        <f ca="1">(F31-E31)/E31</f>
        <v>0</v>
      </c>
      <c r="H31" t="s">
        <v>204</v>
      </c>
      <c r="I31" s="140"/>
      <c r="K31" s="106">
        <f>K28+1</f>
        <v>3</v>
      </c>
      <c r="L31" s="103" t="s">
        <v>199</v>
      </c>
      <c r="M31" s="103" t="s">
        <v>129</v>
      </c>
      <c r="N31" s="107">
        <v>2876</v>
      </c>
      <c r="O31" s="107">
        <v>2876</v>
      </c>
      <c r="P31" s="107">
        <v>2876</v>
      </c>
      <c r="Q31" s="107">
        <v>2876</v>
      </c>
      <c r="R31" t="str">
        <f t="shared" si="0"/>
        <v>Design value of preload, simplified formula</v>
      </c>
      <c r="Z31" s="106">
        <v>3</v>
      </c>
      <c r="AA31" s="103" t="s">
        <v>334</v>
      </c>
      <c r="AB31" s="103" t="s">
        <v>129</v>
      </c>
      <c r="AC31" s="107">
        <v>808.99913815980972</v>
      </c>
      <c r="AD31" s="107">
        <v>808.99913815980972</v>
      </c>
      <c r="AE31" s="107">
        <v>808.99913815980972</v>
      </c>
      <c r="AF31" s="107">
        <v>808.99913815980972</v>
      </c>
      <c r="AG31" t="s">
        <v>204</v>
      </c>
    </row>
    <row r="32" spans="2:33" ht="15.6">
      <c r="B32" s="106"/>
      <c r="C32" s="103" t="s">
        <v>203</v>
      </c>
      <c r="D32" s="103" t="s">
        <v>129</v>
      </c>
      <c r="E32" s="107" cm="1">
        <f t="array" ref="E32">INDEX(N32:Q32,case_number)</f>
        <v>3144.2390271487925</v>
      </c>
      <c r="F32" s="107" t="s">
        <v>87</v>
      </c>
      <c r="G32" s="107"/>
      <c r="I32" s="140"/>
      <c r="K32" s="106"/>
      <c r="L32" s="103" t="s">
        <v>203</v>
      </c>
      <c r="M32" s="103" t="s">
        <v>129</v>
      </c>
      <c r="N32" s="107">
        <v>3144.2390271487925</v>
      </c>
      <c r="O32" s="107">
        <v>3144.2390271487925</v>
      </c>
      <c r="P32" s="107">
        <v>3144.2390271487925</v>
      </c>
      <c r="Q32" s="107">
        <v>3144.2390271487925</v>
      </c>
      <c r="R32" t="str">
        <f t="shared" si="0"/>
        <v/>
      </c>
      <c r="Z32" s="106"/>
      <c r="AA32" s="103" t="s">
        <v>339</v>
      </c>
      <c r="AB32" s="103" t="s">
        <v>129</v>
      </c>
      <c r="AC32" s="107">
        <v>1020.8984827133563</v>
      </c>
      <c r="AD32" s="107">
        <v>1020.8984827133563</v>
      </c>
      <c r="AE32" s="107">
        <v>1020.8984827133563</v>
      </c>
      <c r="AF32" s="107">
        <v>1020.8984827133563</v>
      </c>
      <c r="AG32" t="s">
        <v>340</v>
      </c>
    </row>
    <row r="33" spans="2:33" ht="15.6">
      <c r="B33" s="106"/>
      <c r="C33" s="103" t="s">
        <v>202</v>
      </c>
      <c r="D33" s="103" t="s">
        <v>124</v>
      </c>
      <c r="E33" s="109" cm="1">
        <f t="array" ref="E33">INDEX(N33:Q33,case_number)</f>
        <v>0.03</v>
      </c>
      <c r="F33" s="109" t="s">
        <v>87</v>
      </c>
      <c r="G33" s="109"/>
      <c r="I33" s="140"/>
      <c r="K33" s="106"/>
      <c r="L33" s="103" t="s">
        <v>202</v>
      </c>
      <c r="M33" s="103" t="s">
        <v>124</v>
      </c>
      <c r="N33" s="109">
        <v>0.03</v>
      </c>
      <c r="O33" s="109">
        <v>0.03</v>
      </c>
      <c r="P33" s="109">
        <v>0.03</v>
      </c>
      <c r="Q33" s="109">
        <v>0.03</v>
      </c>
      <c r="R33" t="str">
        <f t="shared" si="0"/>
        <v/>
      </c>
      <c r="Z33" s="106"/>
      <c r="AA33" s="103" t="s">
        <v>341</v>
      </c>
      <c r="AB33" s="103" t="s">
        <v>124</v>
      </c>
      <c r="AC33" s="109">
        <v>0.1</v>
      </c>
      <c r="AD33" s="109">
        <v>0.1</v>
      </c>
      <c r="AE33" s="109">
        <v>0.1</v>
      </c>
      <c r="AF33" s="109">
        <v>0.1</v>
      </c>
      <c r="AG33" t="s">
        <v>342</v>
      </c>
    </row>
    <row r="34" spans="2:33" ht="15.6">
      <c r="B34" s="106"/>
      <c r="C34" s="103" t="s">
        <v>201</v>
      </c>
      <c r="D34" s="103" t="s">
        <v>129</v>
      </c>
      <c r="E34" s="107" cm="1">
        <f t="array" ref="E34">INDEX(N34:Q34,case_number)</f>
        <v>3074.8142294293471</v>
      </c>
      <c r="F34" s="107" t="s">
        <v>87</v>
      </c>
      <c r="G34" s="107"/>
      <c r="H34" t="s">
        <v>200</v>
      </c>
      <c r="I34" s="140"/>
      <c r="K34" s="106"/>
      <c r="L34" s="103" t="s">
        <v>201</v>
      </c>
      <c r="M34" s="103" t="s">
        <v>129</v>
      </c>
      <c r="N34" s="107">
        <v>3074.8142294293471</v>
      </c>
      <c r="O34" s="107">
        <v>3074.8142294293471</v>
      </c>
      <c r="P34" s="107">
        <v>3074.8142294293471</v>
      </c>
      <c r="Q34" s="107">
        <v>3074.8142294293471</v>
      </c>
      <c r="R34" t="str">
        <f t="shared" si="0"/>
        <v>Design preload averaged over 5 bolts</v>
      </c>
      <c r="Z34" s="106"/>
      <c r="AA34" s="103" t="s">
        <v>343</v>
      </c>
      <c r="AB34" s="103" t="s">
        <v>129</v>
      </c>
      <c r="AC34" s="107">
        <v>945.76035438565327</v>
      </c>
      <c r="AD34" s="107">
        <v>945.76035438565327</v>
      </c>
      <c r="AE34" s="107">
        <v>945.76035438565327</v>
      </c>
      <c r="AF34" s="107">
        <v>945.76035438565327</v>
      </c>
      <c r="AG34" t="s">
        <v>344</v>
      </c>
    </row>
    <row r="35" spans="2:33" ht="15.6">
      <c r="B35" s="131">
        <f>B31+1</f>
        <v>4</v>
      </c>
      <c r="C35" s="130" t="s">
        <v>278</v>
      </c>
      <c r="D35" s="130" t="s">
        <v>129</v>
      </c>
      <c r="E35" s="129" cm="1">
        <f t="array" ref="E35">INDEX(N35:Q35,case_number)</f>
        <v>2872.2135022516127</v>
      </c>
      <c r="F35" s="129" t="s">
        <v>87</v>
      </c>
      <c r="G35" s="129"/>
      <c r="H35" s="132" t="s">
        <v>198</v>
      </c>
      <c r="I35" s="142"/>
      <c r="J35" s="132"/>
      <c r="K35" s="131">
        <f>K31+1</f>
        <v>4</v>
      </c>
      <c r="L35" s="130" t="s">
        <v>278</v>
      </c>
      <c r="M35" s="130" t="s">
        <v>129</v>
      </c>
      <c r="N35" s="129">
        <v>2872.2135022516127</v>
      </c>
      <c r="O35" s="129">
        <v>2872.2135022516127</v>
      </c>
      <c r="P35" s="129">
        <v>2872.2135022516127</v>
      </c>
      <c r="Q35" s="129">
        <v>2872.2135022516127</v>
      </c>
      <c r="R35" t="str">
        <f t="shared" si="0"/>
        <v>Limit value for HV bolts</v>
      </c>
      <c r="Z35" s="131">
        <v>4</v>
      </c>
      <c r="AA35" s="130" t="s">
        <v>334</v>
      </c>
      <c r="AB35" s="130" t="s">
        <v>129</v>
      </c>
      <c r="AC35" s="129">
        <v>808.99913815980972</v>
      </c>
      <c r="AD35" s="129">
        <v>808.99913815980972</v>
      </c>
      <c r="AE35" s="129">
        <v>808.99913815980972</v>
      </c>
      <c r="AF35" s="129">
        <v>808.99913815980972</v>
      </c>
      <c r="AG35" t="s">
        <v>345</v>
      </c>
    </row>
    <row r="36" spans="2:33" ht="15.6">
      <c r="B36" s="106"/>
      <c r="C36" s="105" t="s">
        <v>197</v>
      </c>
      <c r="D36" s="103" t="s">
        <v>277</v>
      </c>
      <c r="E36" s="114" cm="1">
        <f t="array" ref="E36">INDEX(N36:Q36,case_number)</f>
        <v>5.8458922294713925E-10</v>
      </c>
      <c r="F36" s="114" cm="1">
        <f t="array" aca="1" ref="F36" ca="1">1/(INDIRECT(sheet_name&amp;"!bolt.axial_stiffness")*1000000)</f>
        <v>5.8461277452054354E-10</v>
      </c>
      <c r="G36" s="118">
        <f ca="1">(F36-E36)/E36</f>
        <v>4.0287388955891572E-5</v>
      </c>
      <c r="I36" s="143"/>
      <c r="J36" s="144"/>
      <c r="K36" s="145"/>
      <c r="L36" s="105" t="s">
        <v>197</v>
      </c>
      <c r="M36" s="103" t="s">
        <v>277</v>
      </c>
      <c r="N36" s="114">
        <v>5.8458922294713925E-10</v>
      </c>
      <c r="O36" s="114">
        <v>5.8458922294713925E-10</v>
      </c>
      <c r="P36" s="114">
        <v>5.8458922294713925E-10</v>
      </c>
      <c r="Q36" s="114">
        <v>5.8458922294713925E-10</v>
      </c>
      <c r="R36" t="str">
        <f t="shared" si="0"/>
        <v/>
      </c>
      <c r="Z36" s="106"/>
      <c r="AA36" s="105" t="s">
        <v>346</v>
      </c>
      <c r="AB36" s="103" t="s">
        <v>277</v>
      </c>
      <c r="AC36" s="114">
        <v>9.1986306542215614E-10</v>
      </c>
      <c r="AD36" s="114">
        <v>9.1986306542215614E-10</v>
      </c>
      <c r="AE36" s="114">
        <v>9.1986306542215614E-10</v>
      </c>
      <c r="AF36" s="114">
        <v>9.1986306542215614E-10</v>
      </c>
      <c r="AG36" t="s">
        <v>347</v>
      </c>
    </row>
    <row r="37" spans="2:33" ht="15.6">
      <c r="B37" s="106"/>
      <c r="C37" s="105" t="s">
        <v>196</v>
      </c>
      <c r="D37" s="103" t="s">
        <v>277</v>
      </c>
      <c r="E37" s="114" cm="1">
        <f t="array" ref="E37">INDEX(N37:Q37,case_number)</f>
        <v>9.6993208304588435E-11</v>
      </c>
      <c r="F37" s="114" cm="1">
        <f t="array" aca="1" ref="F37" ca="1">1/(INDIRECT(sheet_name&amp;"!clamped_parts_stiffness")*1000000)</f>
        <v>9.6993208304588397E-11</v>
      </c>
      <c r="G37" s="118">
        <f ca="1">(F37-E37)/E37</f>
        <v>-3.9976088935691896E-16</v>
      </c>
      <c r="H37" s="150"/>
      <c r="I37" s="143"/>
      <c r="J37" s="144"/>
      <c r="K37" s="145"/>
      <c r="L37" s="105" t="s">
        <v>196</v>
      </c>
      <c r="M37" s="103" t="s">
        <v>277</v>
      </c>
      <c r="N37" s="114">
        <v>9.6993208304588435E-11</v>
      </c>
      <c r="O37" s="114">
        <v>9.6993208304588435E-11</v>
      </c>
      <c r="P37" s="114">
        <v>9.6993208304588435E-11</v>
      </c>
      <c r="Q37" s="114">
        <v>9.6993208304588435E-11</v>
      </c>
      <c r="R37" t="str">
        <f t="shared" si="0"/>
        <v/>
      </c>
      <c r="Z37" s="106"/>
      <c r="AA37" s="105" t="s">
        <v>348</v>
      </c>
      <c r="AB37" s="103" t="s">
        <v>277</v>
      </c>
      <c r="AC37" s="114">
        <v>1.5408931721752862E-10</v>
      </c>
      <c r="AD37" s="114">
        <v>1.5408931721752862E-10</v>
      </c>
      <c r="AE37" s="114">
        <v>1.5408931721752862E-10</v>
      </c>
      <c r="AF37" s="114">
        <v>1.5408931721752862E-10</v>
      </c>
      <c r="AG37" t="s">
        <v>347</v>
      </c>
    </row>
    <row r="38" spans="2:33">
      <c r="B38" s="106"/>
      <c r="C38" s="105" t="s">
        <v>195</v>
      </c>
      <c r="D38" s="103" t="s">
        <v>124</v>
      </c>
      <c r="E38" s="109" cm="1">
        <f t="array" ref="E38">INDEX(N38:Q38,case_number)</f>
        <v>0.1423059102718657</v>
      </c>
      <c r="F38" s="109" cm="1">
        <f t="array" aca="1" ref="F38" ca="1">INDIRECT(sheet_name&amp;"!bolt.axial_stiffness")/(INDIRECT(sheet_name&amp;"!bolt.axial_stiffness")+INDIRECT(sheet_name&amp;"!clamped_parts_stiffness"))</f>
        <v>0.1423009931670044</v>
      </c>
      <c r="G38" s="118">
        <f ca="1">(F38-E38)/E38</f>
        <v>-3.4553061442869523E-5</v>
      </c>
      <c r="H38" s="150"/>
      <c r="I38" s="143"/>
      <c r="J38" s="144"/>
      <c r="K38" s="145"/>
      <c r="L38" s="105" t="s">
        <v>195</v>
      </c>
      <c r="M38" s="103" t="s">
        <v>124</v>
      </c>
      <c r="N38" s="109">
        <v>0.1423059102718657</v>
      </c>
      <c r="O38" s="109">
        <v>0.1423059102718657</v>
      </c>
      <c r="P38" s="109">
        <v>0.1423059102718657</v>
      </c>
      <c r="Q38" s="109">
        <v>0.1423059102718657</v>
      </c>
      <c r="R38" t="str">
        <f t="shared" si="0"/>
        <v/>
      </c>
      <c r="Z38" s="106"/>
      <c r="AA38" s="105" t="s">
        <v>195</v>
      </c>
      <c r="AB38" s="103" t="s">
        <v>124</v>
      </c>
      <c r="AC38" s="109">
        <v>0.1284830227486351</v>
      </c>
      <c r="AD38" s="109">
        <v>0.1284830227486351</v>
      </c>
      <c r="AE38" s="109">
        <v>0.1284830227486351</v>
      </c>
      <c r="AF38" s="109">
        <v>0.1284830227486351</v>
      </c>
      <c r="AG38" t="s">
        <v>347</v>
      </c>
    </row>
    <row r="39" spans="2:33" ht="15.6">
      <c r="B39" s="106">
        <f>B35+1</f>
        <v>5</v>
      </c>
      <c r="C39" s="105" t="s">
        <v>194</v>
      </c>
      <c r="D39" s="103" t="s">
        <v>129</v>
      </c>
      <c r="E39" s="108" cm="1">
        <f t="array" ref="E39">INDEX(N39:Q39,case_number)</f>
        <v>48.860015706266829</v>
      </c>
      <c r="F39" s="108" t="s">
        <v>87</v>
      </c>
      <c r="G39" s="108"/>
      <c r="I39" s="143"/>
      <c r="J39" s="144"/>
      <c r="K39" s="145">
        <f>K35+1</f>
        <v>5</v>
      </c>
      <c r="L39" s="105" t="s">
        <v>194</v>
      </c>
      <c r="M39" s="103" t="s">
        <v>129</v>
      </c>
      <c r="N39" s="108">
        <v>48.860015706266829</v>
      </c>
      <c r="O39" s="108">
        <v>48.860015706266829</v>
      </c>
      <c r="P39" s="108">
        <v>48.860015706266829</v>
      </c>
      <c r="Q39" s="108">
        <v>48.860015706266829</v>
      </c>
      <c r="R39" t="str">
        <f t="shared" si="0"/>
        <v/>
      </c>
      <c r="Z39" s="106">
        <v>5</v>
      </c>
      <c r="AA39" s="105" t="s">
        <v>349</v>
      </c>
      <c r="AB39" s="103" t="s">
        <v>129</v>
      </c>
      <c r="AC39" s="108">
        <v>89.473198506560863</v>
      </c>
      <c r="AD39" s="108">
        <v>89.473198506560863</v>
      </c>
      <c r="AE39" s="108">
        <v>89.473198506560863</v>
      </c>
      <c r="AF39" s="108">
        <v>89.473198506560863</v>
      </c>
      <c r="AG39" t="s">
        <v>347</v>
      </c>
    </row>
    <row r="40" spans="2:33" ht="15.6">
      <c r="B40" s="106"/>
      <c r="C40" s="105" t="s">
        <v>193</v>
      </c>
      <c r="D40" s="103" t="s">
        <v>276</v>
      </c>
      <c r="E40" s="107" cm="1">
        <f t="array" ref="E40">INDEX(N40:Q40,case_number)</f>
        <v>500</v>
      </c>
      <c r="F40" s="107" t="s">
        <v>87</v>
      </c>
      <c r="G40" s="107"/>
      <c r="I40" s="143"/>
      <c r="J40" s="144"/>
      <c r="K40" s="145"/>
      <c r="L40" s="105" t="s">
        <v>193</v>
      </c>
      <c r="M40" s="103" t="s">
        <v>276</v>
      </c>
      <c r="N40" s="107">
        <v>500</v>
      </c>
      <c r="O40" s="107">
        <v>500</v>
      </c>
      <c r="P40" s="107">
        <v>500</v>
      </c>
      <c r="Q40" s="107">
        <v>500</v>
      </c>
      <c r="R40" t="str">
        <f t="shared" si="0"/>
        <v/>
      </c>
      <c r="Z40" s="106"/>
      <c r="AA40" s="105" t="s">
        <v>350</v>
      </c>
      <c r="AB40" s="103" t="s">
        <v>127</v>
      </c>
      <c r="AC40" s="107">
        <v>500</v>
      </c>
      <c r="AD40" s="107">
        <v>500</v>
      </c>
      <c r="AE40" s="107">
        <v>500</v>
      </c>
      <c r="AF40" s="107">
        <v>500</v>
      </c>
      <c r="AG40" t="s">
        <v>347</v>
      </c>
    </row>
    <row r="41" spans="2:33" ht="15.6">
      <c r="B41" s="106">
        <f>B39+1</f>
        <v>6</v>
      </c>
      <c r="C41" s="103" t="s">
        <v>192</v>
      </c>
      <c r="D41" s="103" t="s">
        <v>276</v>
      </c>
      <c r="E41" s="107" cm="1">
        <f t="array" ref="E41">INDEX(N41:Q41,case_number)</f>
        <v>33.30212829607494</v>
      </c>
      <c r="F41" s="107" t="s">
        <v>87</v>
      </c>
      <c r="G41" s="107"/>
      <c r="H41" t="s">
        <v>191</v>
      </c>
      <c r="I41" s="146"/>
      <c r="J41" s="144"/>
      <c r="K41" s="145">
        <f>K39+1</f>
        <v>6</v>
      </c>
      <c r="L41" s="103" t="s">
        <v>192</v>
      </c>
      <c r="M41" s="103" t="s">
        <v>276</v>
      </c>
      <c r="N41" s="107">
        <v>33.30212829607494</v>
      </c>
      <c r="O41" s="107">
        <v>33.30212829607494</v>
      </c>
      <c r="P41" s="107">
        <v>33.30212829607494</v>
      </c>
      <c r="Q41" s="107">
        <v>33.30212829607494</v>
      </c>
      <c r="R41" t="str">
        <f t="shared" si="0"/>
        <v>Including 50% reduction where re-tightening is assumed</v>
      </c>
      <c r="Z41" s="106">
        <v>6</v>
      </c>
      <c r="AA41" s="103" t="s">
        <v>351</v>
      </c>
      <c r="AB41" s="103" t="s">
        <v>127</v>
      </c>
      <c r="AC41" s="107">
        <v>96.08995471851452</v>
      </c>
      <c r="AD41" s="107">
        <v>96.08995471851452</v>
      </c>
      <c r="AE41" s="107">
        <v>96.08995471851452</v>
      </c>
      <c r="AF41" s="107">
        <v>96.08995471851452</v>
      </c>
      <c r="AG41" t="s">
        <v>352</v>
      </c>
    </row>
    <row r="42" spans="2:33" ht="15.6">
      <c r="B42" s="106">
        <f>B41+1</f>
        <v>7</v>
      </c>
      <c r="C42" s="103" t="s">
        <v>190</v>
      </c>
      <c r="D42" s="103" t="s">
        <v>129</v>
      </c>
      <c r="E42" s="111" cm="1">
        <f t="array" ref="E42">INDEX(N42:Q42,case_number)</f>
        <v>3323.2147772434732</v>
      </c>
      <c r="F42" s="111" t="s">
        <v>87</v>
      </c>
      <c r="G42" s="111"/>
      <c r="I42" s="146"/>
      <c r="J42" s="144"/>
      <c r="K42" s="145">
        <f>K41+1</f>
        <v>7</v>
      </c>
      <c r="L42" s="103" t="s">
        <v>190</v>
      </c>
      <c r="M42" s="103" t="s">
        <v>129</v>
      </c>
      <c r="N42" s="111">
        <v>3323.2147772434732</v>
      </c>
      <c r="O42" s="111">
        <v>3323.2147772434732</v>
      </c>
      <c r="P42" s="111">
        <v>3323.2147772434732</v>
      </c>
      <c r="Q42" s="111">
        <v>3323.2147772434732</v>
      </c>
      <c r="R42" t="str">
        <f t="shared" si="0"/>
        <v/>
      </c>
      <c r="Z42" s="106">
        <v>7</v>
      </c>
      <c r="AA42" s="103" t="s">
        <v>353</v>
      </c>
      <c r="AB42" s="103" t="s">
        <v>129</v>
      </c>
      <c r="AC42" s="111">
        <v>1126.9658575407177</v>
      </c>
      <c r="AD42" s="111">
        <v>1126.9658575407177</v>
      </c>
      <c r="AE42" s="111">
        <v>1126.9658575407177</v>
      </c>
      <c r="AF42" s="111">
        <v>1126.9658575407177</v>
      </c>
      <c r="AG42" t="s">
        <v>347</v>
      </c>
    </row>
    <row r="43" spans="2:33" ht="15.6">
      <c r="B43" s="106">
        <f>B42+1</f>
        <v>8</v>
      </c>
      <c r="C43" s="103" t="s">
        <v>189</v>
      </c>
      <c r="D43" s="103" t="s">
        <v>185</v>
      </c>
      <c r="E43" s="107" cm="1">
        <f t="array" ref="E43">INDEX(N43:Q43,case_number)</f>
        <v>321.69549999999998</v>
      </c>
      <c r="F43" s="107" t="s">
        <v>87</v>
      </c>
      <c r="G43" s="107"/>
      <c r="H43" t="s">
        <v>188</v>
      </c>
      <c r="I43" s="146"/>
      <c r="J43" s="144"/>
      <c r="K43" s="145">
        <f>K42+1</f>
        <v>8</v>
      </c>
      <c r="L43" s="103" t="s">
        <v>189</v>
      </c>
      <c r="M43" s="103" t="s">
        <v>185</v>
      </c>
      <c r="N43" s="107">
        <v>321.69549999999998</v>
      </c>
      <c r="O43" s="107">
        <v>321.69549999999998</v>
      </c>
      <c r="P43" s="107">
        <v>321.69549999999998</v>
      </c>
      <c r="Q43" s="107">
        <v>321.69549999999998</v>
      </c>
      <c r="R43" t="str">
        <f t="shared" si="0"/>
        <v>Note: S1 loads not included here, only FLS loads</v>
      </c>
      <c r="Z43" s="106">
        <v>8</v>
      </c>
      <c r="AA43" s="103" t="s">
        <v>354</v>
      </c>
      <c r="AB43" s="103" t="s">
        <v>185</v>
      </c>
      <c r="AC43" s="107">
        <v>65.673222412000001</v>
      </c>
      <c r="AD43" s="107">
        <v>65.673222412000001</v>
      </c>
      <c r="AE43" s="107">
        <v>65.673222412000001</v>
      </c>
      <c r="AF43" s="107">
        <v>65.673222412000001</v>
      </c>
      <c r="AG43" t="s">
        <v>188</v>
      </c>
    </row>
    <row r="44" spans="2:33" ht="15.6">
      <c r="B44" s="106">
        <f>B43+1</f>
        <v>9</v>
      </c>
      <c r="C44" s="103" t="s">
        <v>187</v>
      </c>
      <c r="D44" s="103" t="s">
        <v>185</v>
      </c>
      <c r="E44" s="107" cm="1">
        <f t="array" ref="E44">INDEX(N44:Q44,case_number)</f>
        <v>321.69549999999998</v>
      </c>
      <c r="F44" s="107" t="s">
        <v>87</v>
      </c>
      <c r="G44" s="107"/>
      <c r="I44" s="146"/>
      <c r="J44" s="144"/>
      <c r="K44" s="145">
        <f>K43+1</f>
        <v>9</v>
      </c>
      <c r="L44" s="103" t="s">
        <v>187</v>
      </c>
      <c r="M44" s="103" t="s">
        <v>185</v>
      </c>
      <c r="N44" s="107">
        <v>321.69549999999998</v>
      </c>
      <c r="O44" s="107">
        <v>321.69549999999998</v>
      </c>
      <c r="P44" s="107">
        <v>321.69549999999998</v>
      </c>
      <c r="Q44" s="107">
        <v>321.69549999999998</v>
      </c>
      <c r="R44" t="str">
        <f t="shared" si="0"/>
        <v/>
      </c>
      <c r="Z44" s="106">
        <v>9</v>
      </c>
      <c r="AA44" s="103" t="s">
        <v>355</v>
      </c>
      <c r="AB44" s="103" t="s">
        <v>185</v>
      </c>
      <c r="AC44" s="107">
        <v>65.673222412000001</v>
      </c>
      <c r="AD44" s="107">
        <v>65.673222412000001</v>
      </c>
      <c r="AE44" s="107">
        <v>65.673222412000001</v>
      </c>
      <c r="AF44" s="107">
        <v>65.673222412000001</v>
      </c>
      <c r="AG44" t="s">
        <v>347</v>
      </c>
    </row>
    <row r="45" spans="2:33" ht="15.6">
      <c r="B45" s="106">
        <f>B44+1</f>
        <v>10</v>
      </c>
      <c r="C45" s="103" t="s">
        <v>186</v>
      </c>
      <c r="D45" s="103" t="s">
        <v>185</v>
      </c>
      <c r="E45" s="107" cm="1">
        <f t="array" ref="E45">INDEX(N45:Q45,case_number)</f>
        <v>-318.4495</v>
      </c>
      <c r="F45" s="107" t="s">
        <v>87</v>
      </c>
      <c r="G45" s="107"/>
      <c r="I45" s="146"/>
      <c r="J45" s="144"/>
      <c r="K45" s="145">
        <f>K44+1</f>
        <v>10</v>
      </c>
      <c r="L45" s="103" t="s">
        <v>186</v>
      </c>
      <c r="M45" s="103" t="s">
        <v>185</v>
      </c>
      <c r="N45" s="107">
        <v>-318.4495</v>
      </c>
      <c r="O45" s="107">
        <v>-318.4495</v>
      </c>
      <c r="P45" s="107">
        <v>-318.4495</v>
      </c>
      <c r="Q45" s="107">
        <v>-318.4495</v>
      </c>
      <c r="R45" t="str">
        <f t="shared" si="0"/>
        <v/>
      </c>
      <c r="Z45" s="106">
        <v>10</v>
      </c>
      <c r="AA45" s="103" t="s">
        <v>356</v>
      </c>
      <c r="AB45" s="103" t="s">
        <v>185</v>
      </c>
      <c r="AC45" s="107">
        <v>-58.57360279409982</v>
      </c>
      <c r="AD45" s="107">
        <v>-58.57360279409982</v>
      </c>
      <c r="AE45" s="107">
        <v>-58.57360279409982</v>
      </c>
      <c r="AF45" s="107">
        <v>-58.57360279409982</v>
      </c>
      <c r="AG45" t="s">
        <v>347</v>
      </c>
    </row>
    <row r="46" spans="2:33" ht="15.6">
      <c r="B46" s="106"/>
      <c r="C46" s="103" t="s">
        <v>184</v>
      </c>
      <c r="D46" s="103" t="s">
        <v>129</v>
      </c>
      <c r="E46" s="111" cm="1">
        <f t="array" ref="E46">INDEX(N46:Q46,case_number)</f>
        <v>1320.1892068208026</v>
      </c>
      <c r="F46" s="111" t="s">
        <v>87</v>
      </c>
      <c r="G46" s="111"/>
      <c r="I46" s="146"/>
      <c r="J46" s="144"/>
      <c r="K46" s="145"/>
      <c r="L46" s="103" t="s">
        <v>184</v>
      </c>
      <c r="M46" s="103" t="s">
        <v>129</v>
      </c>
      <c r="N46" s="111">
        <v>1320.1892068208026</v>
      </c>
      <c r="O46" s="111">
        <v>1320.1892068208026</v>
      </c>
      <c r="P46" s="111">
        <v>1320.1892068208026</v>
      </c>
      <c r="Q46" s="111">
        <v>1320.1892068208026</v>
      </c>
      <c r="R46" t="str">
        <f t="shared" si="0"/>
        <v/>
      </c>
      <c r="Z46" s="106"/>
      <c r="AA46" s="103" t="s">
        <v>357</v>
      </c>
      <c r="AB46" s="103" t="s">
        <v>129</v>
      </c>
      <c r="AC46" s="111">
        <v>369.02469277749583</v>
      </c>
      <c r="AD46" s="111">
        <v>369.02469277749583</v>
      </c>
      <c r="AE46" s="111">
        <v>369.02469277749583</v>
      </c>
      <c r="AF46" s="111">
        <v>369.02469277749583</v>
      </c>
      <c r="AG46" t="s">
        <v>347</v>
      </c>
    </row>
    <row r="47" spans="2:33" ht="15.6">
      <c r="B47" s="106">
        <f>B45+1</f>
        <v>11</v>
      </c>
      <c r="C47" s="103" t="s">
        <v>183</v>
      </c>
      <c r="D47" s="103" t="s">
        <v>124</v>
      </c>
      <c r="E47" s="104"/>
      <c r="F47" s="110" t="s">
        <v>87</v>
      </c>
      <c r="G47" s="104"/>
      <c r="H47" t="s">
        <v>310</v>
      </c>
      <c r="I47" s="146"/>
      <c r="J47" s="144"/>
      <c r="K47" s="145">
        <f>K45+1</f>
        <v>11</v>
      </c>
      <c r="L47" s="103" t="s">
        <v>183</v>
      </c>
      <c r="M47" s="103" t="s">
        <v>124</v>
      </c>
      <c r="N47" s="104"/>
      <c r="O47" s="104"/>
      <c r="P47" s="104"/>
      <c r="Q47" s="104"/>
      <c r="R47" t="str">
        <f t="shared" si="0"/>
        <v>(valid in case L-Flange is calculated)</v>
      </c>
      <c r="Z47" s="106">
        <v>11</v>
      </c>
      <c r="AA47" s="103" t="s">
        <v>358</v>
      </c>
      <c r="AB47" s="103" t="s">
        <v>124</v>
      </c>
      <c r="AC47" s="104"/>
      <c r="AD47" s="104"/>
      <c r="AE47" s="104"/>
      <c r="AF47" s="104"/>
      <c r="AG47" t="s">
        <v>310</v>
      </c>
    </row>
    <row r="48" spans="2:33" ht="15.6">
      <c r="B48" s="106"/>
      <c r="C48" s="105" t="s">
        <v>182</v>
      </c>
      <c r="D48" s="103" t="s">
        <v>181</v>
      </c>
      <c r="E48" s="110" cm="1">
        <f t="array" ref="E48">INDEX(N48:Q48,case_number)</f>
        <v>30</v>
      </c>
      <c r="F48" s="110" cm="1">
        <f t="array" aca="1" ref="F48" ca="1">INDIRECT(sheet_name&amp;"!gap.angle")</f>
        <v>29.999999999999996</v>
      </c>
      <c r="G48" s="118">
        <f t="shared" ref="G48:G53" ca="1" si="1">(F48-E48)/E48</f>
        <v>-1.1842378929335003E-16</v>
      </c>
      <c r="I48" s="143"/>
      <c r="J48" s="144"/>
      <c r="K48" s="145"/>
      <c r="L48" s="105" t="s">
        <v>182</v>
      </c>
      <c r="M48" s="103" t="s">
        <v>181</v>
      </c>
      <c r="N48" s="110">
        <v>30</v>
      </c>
      <c r="O48" s="110">
        <v>60</v>
      </c>
      <c r="P48" s="110">
        <v>90</v>
      </c>
      <c r="Q48" s="110">
        <v>120</v>
      </c>
      <c r="R48" t="str">
        <f t="shared" si="0"/>
        <v/>
      </c>
      <c r="Z48" s="106"/>
      <c r="AA48" s="105" t="s">
        <v>359</v>
      </c>
      <c r="AB48" s="103" t="s">
        <v>181</v>
      </c>
      <c r="AC48" s="110">
        <v>30</v>
      </c>
      <c r="AD48" s="110">
        <v>60</v>
      </c>
      <c r="AE48" s="110">
        <v>90</v>
      </c>
      <c r="AF48" s="110">
        <v>120</v>
      </c>
      <c r="AG48" t="s">
        <v>347</v>
      </c>
    </row>
    <row r="49" spans="2:33" ht="15.6">
      <c r="B49" s="106"/>
      <c r="C49" s="103" t="s">
        <v>180</v>
      </c>
      <c r="D49" s="103" t="s">
        <v>174</v>
      </c>
      <c r="E49" s="109" cm="1">
        <f t="array" ref="E49">INDEX(N49:Q49,case_number)</f>
        <v>1.9634954084936207</v>
      </c>
      <c r="F49" s="109" cm="1">
        <f t="array" aca="1" ref="F49" ca="1">INDIRECT(sheet_name&amp;"!gap.L")/1000</f>
        <v>1.9634954084936205</v>
      </c>
      <c r="G49" s="118">
        <f t="shared" ca="1" si="1"/>
        <v>-1.1308638867425837E-16</v>
      </c>
      <c r="H49" t="s">
        <v>323</v>
      </c>
      <c r="I49" s="146"/>
      <c r="J49" s="144"/>
      <c r="K49" s="145"/>
      <c r="L49" s="103" t="s">
        <v>180</v>
      </c>
      <c r="M49" s="103" t="s">
        <v>174</v>
      </c>
      <c r="N49" s="109">
        <v>1.9634954084936207</v>
      </c>
      <c r="O49" s="109">
        <v>3.9269908169872414</v>
      </c>
      <c r="P49" s="109">
        <v>5.8904862254808625</v>
      </c>
      <c r="Q49" s="109">
        <v>7.8539816339744828</v>
      </c>
      <c r="R49" t="str">
        <f t="shared" si="0"/>
        <v>Gap length measured on outside diameter</v>
      </c>
      <c r="Z49" s="106"/>
      <c r="AA49" s="103" t="s">
        <v>360</v>
      </c>
      <c r="AB49" s="103" t="s">
        <v>174</v>
      </c>
      <c r="AC49" s="109">
        <v>1.2042771838760873</v>
      </c>
      <c r="AD49" s="109">
        <v>2.4085543677521746</v>
      </c>
      <c r="AE49" s="109">
        <v>3.6128315516282621</v>
      </c>
      <c r="AF49" s="109">
        <v>4.8171087355043491</v>
      </c>
      <c r="AG49" t="s">
        <v>323</v>
      </c>
    </row>
    <row r="50" spans="2:33">
      <c r="B50" s="106"/>
      <c r="C50" s="103" t="s">
        <v>94</v>
      </c>
      <c r="D50" s="103" t="s">
        <v>174</v>
      </c>
      <c r="E50" s="109" cm="1">
        <f t="array" ref="E50">INDEX(N50:Q50,case_number)</f>
        <v>7.5</v>
      </c>
      <c r="F50" s="109" cm="1">
        <f t="array" aca="1" ref="F50" ca="1">2*INDIRECT(sheet_name&amp;"!Radius")/1000</f>
        <v>7.5</v>
      </c>
      <c r="G50" s="118">
        <f t="shared" ca="1" si="1"/>
        <v>0</v>
      </c>
      <c r="I50" s="146"/>
      <c r="J50" s="144"/>
      <c r="K50" s="145"/>
      <c r="L50" s="103" t="s">
        <v>94</v>
      </c>
      <c r="M50" s="103" t="s">
        <v>174</v>
      </c>
      <c r="N50" s="109">
        <v>7.5</v>
      </c>
      <c r="O50" s="109">
        <v>7.5</v>
      </c>
      <c r="P50" s="109">
        <v>7.5</v>
      </c>
      <c r="Q50" s="109">
        <v>7.5</v>
      </c>
      <c r="R50" t="str">
        <f t="shared" si="0"/>
        <v/>
      </c>
      <c r="Z50" s="106"/>
      <c r="AA50" s="103" t="s">
        <v>94</v>
      </c>
      <c r="AB50" s="103" t="s">
        <v>174</v>
      </c>
      <c r="AC50" s="109">
        <v>4.5999999999999996</v>
      </c>
      <c r="AD50" s="109">
        <v>4.5999999999999996</v>
      </c>
      <c r="AE50" s="109">
        <v>4.5999999999999996</v>
      </c>
      <c r="AF50" s="109">
        <v>4.5999999999999996</v>
      </c>
      <c r="AG50" t="s">
        <v>347</v>
      </c>
    </row>
    <row r="51" spans="2:33" ht="15.6">
      <c r="B51" s="106"/>
      <c r="C51" s="103" t="s">
        <v>179</v>
      </c>
      <c r="D51" s="103" t="s">
        <v>178</v>
      </c>
      <c r="E51" s="108" cm="1">
        <f t="array" ref="E51">INDEX(N51:Q51,case_number)</f>
        <v>1.4</v>
      </c>
      <c r="F51" s="108" cm="1">
        <f t="array" aca="1" ref="F51" ca="1">INDIRECT(sheet_name&amp;"!u_tol")</f>
        <v>1.4</v>
      </c>
      <c r="G51" s="118">
        <f t="shared" ca="1" si="1"/>
        <v>0</v>
      </c>
      <c r="I51" s="146"/>
      <c r="J51" s="144"/>
      <c r="K51" s="145"/>
      <c r="L51" s="103" t="s">
        <v>179</v>
      </c>
      <c r="M51" s="103" t="s">
        <v>178</v>
      </c>
      <c r="N51" s="108">
        <v>1.4</v>
      </c>
      <c r="O51" s="108">
        <v>1.4</v>
      </c>
      <c r="P51" s="108">
        <v>1.4</v>
      </c>
      <c r="Q51" s="108">
        <v>1.4</v>
      </c>
      <c r="R51" t="str">
        <f t="shared" si="0"/>
        <v/>
      </c>
      <c r="Z51" s="106"/>
      <c r="AA51" s="103" t="s">
        <v>361</v>
      </c>
      <c r="AB51" s="103" t="s">
        <v>178</v>
      </c>
      <c r="AC51" s="108">
        <v>1.4</v>
      </c>
      <c r="AD51" s="108">
        <v>1.4</v>
      </c>
      <c r="AE51" s="108">
        <v>1.4</v>
      </c>
      <c r="AF51" s="108">
        <v>1.4</v>
      </c>
      <c r="AG51" t="s">
        <v>347</v>
      </c>
    </row>
    <row r="52" spans="2:33" ht="15.6">
      <c r="B52" s="106">
        <f>B47+1</f>
        <v>12</v>
      </c>
      <c r="C52" s="103" t="s">
        <v>177</v>
      </c>
      <c r="D52" s="103" t="s">
        <v>127</v>
      </c>
      <c r="E52" s="109" cm="1">
        <f t="array" ref="E52">INDEX(N52:Q52,case_number)</f>
        <v>0.28773533056547307</v>
      </c>
      <c r="F52" s="109" cm="1">
        <f t="array" aca="1" ref="F52" ca="1">INDIRECT(sheet_name&amp;"!gap.k_mean")</f>
        <v>0.28773533056547312</v>
      </c>
      <c r="G52" s="118">
        <f t="shared" ca="1" si="1"/>
        <v>1.9292434864416651E-16</v>
      </c>
      <c r="I52" s="146"/>
      <c r="J52" s="144"/>
      <c r="K52" s="145">
        <f>K47+1</f>
        <v>12</v>
      </c>
      <c r="L52" s="103" t="s">
        <v>177</v>
      </c>
      <c r="M52" s="103" t="s">
        <v>127</v>
      </c>
      <c r="N52" s="109">
        <v>0.28773533056547307</v>
      </c>
      <c r="O52" s="109">
        <v>0.74253427729521915</v>
      </c>
      <c r="P52" s="109">
        <v>1.3643968401892383</v>
      </c>
      <c r="Q52" s="109">
        <v>2.1533230192475301</v>
      </c>
      <c r="R52" t="str">
        <f t="shared" si="0"/>
        <v/>
      </c>
      <c r="Z52" s="106">
        <v>12</v>
      </c>
      <c r="AA52" s="103" t="s">
        <v>362</v>
      </c>
      <c r="AB52" s="103" t="s">
        <v>127</v>
      </c>
      <c r="AC52" s="109">
        <v>0.25543636477371356</v>
      </c>
      <c r="AD52" s="109">
        <v>0.61333841412818124</v>
      </c>
      <c r="AE52" s="109">
        <v>1.0737061480634029</v>
      </c>
      <c r="AF52" s="109">
        <v>1.6365395665793787</v>
      </c>
      <c r="AG52" t="s">
        <v>347</v>
      </c>
    </row>
    <row r="53" spans="2:33" ht="15.6">
      <c r="B53" s="106">
        <f>B52+1</f>
        <v>13</v>
      </c>
      <c r="C53" s="103" t="s">
        <v>176</v>
      </c>
      <c r="D53" s="103" t="s">
        <v>124</v>
      </c>
      <c r="E53" s="109" cm="1">
        <f t="array" ref="E53">INDEX(N53:Q53,case_number)</f>
        <v>1.2162355202035975</v>
      </c>
      <c r="F53" s="109" cm="1">
        <f t="array" aca="1" ref="F53" ca="1">INDIRECT(sheet_name&amp;"!gap.COV")</f>
        <v>1.2162355202035973</v>
      </c>
      <c r="G53" s="118">
        <f t="shared" ca="1" si="1"/>
        <v>-1.825671107581705E-16</v>
      </c>
      <c r="I53" s="146"/>
      <c r="J53" s="144"/>
      <c r="K53" s="145">
        <f>K52+1</f>
        <v>13</v>
      </c>
      <c r="L53" s="103" t="s">
        <v>176</v>
      </c>
      <c r="M53" s="103" t="s">
        <v>124</v>
      </c>
      <c r="N53" s="109">
        <v>1.2162355202035975</v>
      </c>
      <c r="O53" s="109">
        <v>0.63575115537527993</v>
      </c>
      <c r="P53" s="109">
        <v>0.4993626397773579</v>
      </c>
      <c r="Q53" s="109">
        <v>0.44426272750754409</v>
      </c>
      <c r="R53" t="str">
        <f t="shared" si="0"/>
        <v/>
      </c>
      <c r="Z53" s="106">
        <v>13</v>
      </c>
      <c r="AA53" s="103" t="s">
        <v>363</v>
      </c>
      <c r="AB53" s="103" t="s">
        <v>124</v>
      </c>
      <c r="AC53" s="109">
        <v>1.2162355202035975</v>
      </c>
      <c r="AD53" s="109">
        <v>0.63575115537527993</v>
      </c>
      <c r="AE53" s="109">
        <v>0.4993626397773579</v>
      </c>
      <c r="AF53" s="109">
        <v>0.44426272750754409</v>
      </c>
      <c r="AG53" t="s">
        <v>347</v>
      </c>
    </row>
    <row r="54" spans="2:33" ht="15.6">
      <c r="B54" s="106"/>
      <c r="C54" s="103" t="s">
        <v>175</v>
      </c>
      <c r="D54" s="103" t="s">
        <v>174</v>
      </c>
      <c r="E54" s="109" cm="1">
        <f t="array" ref="E54">INDEX(N54:Q54,case_number)</f>
        <v>1.9634954084936205</v>
      </c>
      <c r="F54" s="109" t="s">
        <v>87</v>
      </c>
      <c r="G54" s="109"/>
      <c r="I54" s="146"/>
      <c r="J54" s="144"/>
      <c r="K54" s="145"/>
      <c r="L54" s="103" t="s">
        <v>175</v>
      </c>
      <c r="M54" s="103" t="s">
        <v>174</v>
      </c>
      <c r="N54" s="109">
        <v>1.9634954084936205</v>
      </c>
      <c r="O54" s="109">
        <v>1.9634954084936205</v>
      </c>
      <c r="P54" s="109">
        <v>1.9634954084936205</v>
      </c>
      <c r="Q54" s="109">
        <v>1.9634954084936205</v>
      </c>
      <c r="R54" t="str">
        <f t="shared" si="0"/>
        <v/>
      </c>
      <c r="Z54" s="106"/>
      <c r="AA54" s="103" t="s">
        <v>364</v>
      </c>
      <c r="AB54" s="103" t="s">
        <v>174</v>
      </c>
      <c r="AC54" s="109">
        <v>1.2042771838760873</v>
      </c>
      <c r="AD54" s="109">
        <v>1.2042771838760873</v>
      </c>
      <c r="AE54" s="109">
        <v>1.2042771838760873</v>
      </c>
      <c r="AF54" s="109">
        <v>1.2042771838760873</v>
      </c>
      <c r="AG54" t="s">
        <v>347</v>
      </c>
    </row>
    <row r="55" spans="2:33" ht="15.6">
      <c r="B55" s="106">
        <f>B53+1</f>
        <v>14</v>
      </c>
      <c r="C55" s="103" t="s">
        <v>173</v>
      </c>
      <c r="D55" s="103" t="s">
        <v>127</v>
      </c>
      <c r="E55" s="109" cm="1">
        <f t="array" ref="E55">INDEX(N55:Q55,case_number)</f>
        <v>1.9617469257392748</v>
      </c>
      <c r="F55" s="109" t="s">
        <v>87</v>
      </c>
      <c r="G55" s="109"/>
      <c r="I55" s="146"/>
      <c r="J55" s="144"/>
      <c r="K55" s="145">
        <f>K53+1</f>
        <v>14</v>
      </c>
      <c r="L55" s="103" t="s">
        <v>173</v>
      </c>
      <c r="M55" s="103" t="s">
        <v>127</v>
      </c>
      <c r="N55" s="109">
        <v>1.9617469257392748</v>
      </c>
      <c r="O55" s="109">
        <v>1.9617469257392748</v>
      </c>
      <c r="P55" s="109">
        <v>1.9617469257392748</v>
      </c>
      <c r="Q55" s="109">
        <v>1.9617469257392748</v>
      </c>
      <c r="R55" t="str">
        <f t="shared" si="0"/>
        <v/>
      </c>
      <c r="Z55" s="106">
        <v>14</v>
      </c>
      <c r="AA55" s="103" t="s">
        <v>365</v>
      </c>
      <c r="AB55" s="103" t="s">
        <v>127</v>
      </c>
      <c r="AC55" s="109">
        <v>1.5363538916529389</v>
      </c>
      <c r="AD55" s="109">
        <v>1.5363538916529389</v>
      </c>
      <c r="AE55" s="109">
        <v>1.5363538916529389</v>
      </c>
      <c r="AF55" s="109">
        <v>1.5363538916529389</v>
      </c>
      <c r="AG55" t="s">
        <v>347</v>
      </c>
    </row>
    <row r="56" spans="2:33" ht="15.6">
      <c r="B56" s="106">
        <f>B55+1</f>
        <v>15</v>
      </c>
      <c r="C56" s="103" t="s">
        <v>172</v>
      </c>
      <c r="D56" s="103" t="s">
        <v>127</v>
      </c>
      <c r="E56" s="109" cm="1">
        <f t="array" ref="E56">INDEX(N56:Q56,case_number)</f>
        <v>2.942620388608912</v>
      </c>
      <c r="F56" s="109" t="s">
        <v>87</v>
      </c>
      <c r="G56" s="109"/>
      <c r="I56" s="146"/>
      <c r="J56" s="144"/>
      <c r="K56" s="145">
        <f>K55+1</f>
        <v>15</v>
      </c>
      <c r="L56" s="103" t="s">
        <v>172</v>
      </c>
      <c r="M56" s="103" t="s">
        <v>127</v>
      </c>
      <c r="N56" s="109">
        <v>2.942620388608912</v>
      </c>
      <c r="O56" s="109">
        <v>2.942620388608912</v>
      </c>
      <c r="P56" s="109">
        <v>2.942620388608912</v>
      </c>
      <c r="Q56" s="109">
        <v>2.942620388608912</v>
      </c>
      <c r="R56" t="str">
        <f t="shared" si="0"/>
        <v/>
      </c>
      <c r="Z56" s="106">
        <v>15</v>
      </c>
      <c r="AA56" s="103" t="s">
        <v>366</v>
      </c>
      <c r="AB56" s="103" t="s">
        <v>127</v>
      </c>
      <c r="AC56" s="109">
        <v>2.3045308374794082</v>
      </c>
      <c r="AD56" s="109">
        <v>2.3045308374794082</v>
      </c>
      <c r="AE56" s="109">
        <v>2.3045308374794082</v>
      </c>
      <c r="AF56" s="109">
        <v>2.3045308374794082</v>
      </c>
      <c r="AG56" t="s">
        <v>347</v>
      </c>
    </row>
    <row r="57" spans="2:33" ht="15.6">
      <c r="B57" s="106">
        <f>B56+1</f>
        <v>16</v>
      </c>
      <c r="C57" s="105" t="s">
        <v>171</v>
      </c>
      <c r="D57" s="103"/>
      <c r="E57" s="109" cm="1">
        <f t="array" ref="E57">INDEX(N57:Q57,case_number)</f>
        <v>0.95286282352314688</v>
      </c>
      <c r="F57" s="109" t="s">
        <v>87</v>
      </c>
      <c r="G57" s="109"/>
      <c r="I57" s="143"/>
      <c r="J57" s="144"/>
      <c r="K57" s="145">
        <f>K56+1</f>
        <v>16</v>
      </c>
      <c r="L57" s="105" t="s">
        <v>171</v>
      </c>
      <c r="M57" s="103"/>
      <c r="N57" s="109">
        <v>0.95286282352314688</v>
      </c>
      <c r="O57" s="109">
        <v>0.58262609700472079</v>
      </c>
      <c r="P57" s="109">
        <v>0.47184092472685457</v>
      </c>
      <c r="Q57" s="109">
        <v>0.42441366570439232</v>
      </c>
      <c r="R57" t="str">
        <f t="shared" si="0"/>
        <v/>
      </c>
      <c r="Z57" s="106">
        <v>16</v>
      </c>
      <c r="AA57" s="105" t="s">
        <v>367</v>
      </c>
      <c r="AB57" s="103"/>
      <c r="AC57" s="109">
        <v>0.95286282352314688</v>
      </c>
      <c r="AD57" s="109">
        <v>0.58262609700472079</v>
      </c>
      <c r="AE57" s="109">
        <v>0.47184092472685457</v>
      </c>
      <c r="AF57" s="109">
        <v>0.42441366570439232</v>
      </c>
      <c r="AG57" t="s">
        <v>347</v>
      </c>
    </row>
    <row r="58" spans="2:33" ht="15.6">
      <c r="B58" s="106">
        <f>B57+1</f>
        <v>17</v>
      </c>
      <c r="C58" s="105" t="s">
        <v>170</v>
      </c>
      <c r="D58" s="103"/>
      <c r="E58" s="109" cm="1">
        <f t="array" ref="E58">INDEX(N58:Q58,case_number)</f>
        <v>-1.6996879926957522</v>
      </c>
      <c r="F58" s="109" t="s">
        <v>87</v>
      </c>
      <c r="G58" s="109"/>
      <c r="I58" s="143"/>
      <c r="J58" s="144"/>
      <c r="K58" s="145">
        <f>K57+1</f>
        <v>17</v>
      </c>
      <c r="L58" s="105" t="s">
        <v>170</v>
      </c>
      <c r="M58" s="103"/>
      <c r="N58" s="109">
        <v>-1.6996879926957522</v>
      </c>
      <c r="O58" s="109">
        <v>-0.46741282911895099</v>
      </c>
      <c r="P58" s="109">
        <v>0.19939552653846943</v>
      </c>
      <c r="Q58" s="109">
        <v>0.67694875947348121</v>
      </c>
      <c r="R58" t="str">
        <f t="shared" si="0"/>
        <v/>
      </c>
      <c r="Z58" s="106">
        <v>17</v>
      </c>
      <c r="AA58" s="105" t="s">
        <v>368</v>
      </c>
      <c r="AB58" s="103"/>
      <c r="AC58" s="109">
        <v>-1.818755742136632</v>
      </c>
      <c r="AD58" s="109">
        <v>-0.65856501763236064</v>
      </c>
      <c r="AE58" s="109">
        <v>-4.0200575628711196E-2</v>
      </c>
      <c r="AF58" s="109">
        <v>0.40252051240999598</v>
      </c>
      <c r="AG58" t="s">
        <v>347</v>
      </c>
    </row>
    <row r="59" spans="2:33" ht="15.6">
      <c r="B59" s="106">
        <f>B58+1</f>
        <v>18</v>
      </c>
      <c r="C59" s="103" t="s">
        <v>169</v>
      </c>
      <c r="D59" s="103"/>
      <c r="E59" s="109" cm="1">
        <f t="array" ref="E59">INDEX(N59:Q59,case_number)</f>
        <v>-0.13232393428252798</v>
      </c>
      <c r="F59" s="113" t="s">
        <v>87</v>
      </c>
      <c r="G59" s="109"/>
      <c r="I59" s="146"/>
      <c r="J59" s="144"/>
      <c r="K59" s="145">
        <f>K58+1</f>
        <v>18</v>
      </c>
      <c r="L59" s="103" t="s">
        <v>169</v>
      </c>
      <c r="M59" s="103"/>
      <c r="N59" s="109">
        <v>-0.13232393428252798</v>
      </c>
      <c r="O59" s="109">
        <v>0.49094883784411425</v>
      </c>
      <c r="P59" s="109">
        <v>0.97552666362167262</v>
      </c>
      <c r="Q59" s="109">
        <v>1.3750667981906362</v>
      </c>
      <c r="R59" t="str">
        <f t="shared" si="0"/>
        <v/>
      </c>
      <c r="Z59" s="106">
        <v>18</v>
      </c>
      <c r="AA59" s="103" t="s">
        <v>369</v>
      </c>
      <c r="AB59" s="103"/>
      <c r="AC59" s="109">
        <v>-0.25139168372340781</v>
      </c>
      <c r="AD59" s="109">
        <v>0.2997966493307046</v>
      </c>
      <c r="AE59" s="109">
        <v>0.73593056145449198</v>
      </c>
      <c r="AF59" s="109">
        <v>1.100638551127151</v>
      </c>
      <c r="AG59" t="s">
        <v>347</v>
      </c>
    </row>
    <row r="60" spans="2:33" ht="15.6">
      <c r="B60" s="106">
        <f>B59+1</f>
        <v>19</v>
      </c>
      <c r="C60" s="103" t="s">
        <v>168</v>
      </c>
      <c r="D60" s="103" t="s">
        <v>127</v>
      </c>
      <c r="E60" s="109" cm="1">
        <f t="array" ref="E60">INDEX(N60:Q60,case_number)</f>
        <v>0.87601845454409977</v>
      </c>
      <c r="F60" s="109" cm="1">
        <f t="array" aca="1" ref="F60" ca="1">INDIRECT(sheet_name&amp;"!gap.h")</f>
        <v>0.87601845454410032</v>
      </c>
      <c r="G60" s="118">
        <f t="shared" ref="G60:G61" ca="1" si="2">(F60-E60)/E60</f>
        <v>6.3367559145939581E-16</v>
      </c>
      <c r="I60" s="146"/>
      <c r="J60" s="144"/>
      <c r="K60" s="145">
        <f>K59+1</f>
        <v>19</v>
      </c>
      <c r="L60" s="103" t="s">
        <v>168</v>
      </c>
      <c r="M60" s="103" t="s">
        <v>127</v>
      </c>
      <c r="N60" s="109">
        <v>0.87601845454409977</v>
      </c>
      <c r="O60" s="109">
        <v>1.6338216149415525</v>
      </c>
      <c r="P60" s="109">
        <v>2.6525058127308667</v>
      </c>
      <c r="Q60" s="109">
        <v>3.9552630780086151</v>
      </c>
      <c r="R60" t="str">
        <f t="shared" si="0"/>
        <v/>
      </c>
      <c r="Z60" s="106">
        <v>19</v>
      </c>
      <c r="AA60" s="103" t="s">
        <v>370</v>
      </c>
      <c r="AB60" s="103" t="s">
        <v>127</v>
      </c>
      <c r="AC60" s="109">
        <v>0.77768332816019681</v>
      </c>
      <c r="AD60" s="109">
        <v>1.349547878014234</v>
      </c>
      <c r="AE60" s="109">
        <v>2.0873778911039058</v>
      </c>
      <c r="AF60" s="109">
        <v>3.0060257869038067</v>
      </c>
      <c r="AG60" t="s">
        <v>347</v>
      </c>
    </row>
    <row r="61" spans="2:33" ht="15.6">
      <c r="B61" s="106"/>
      <c r="C61" s="103" t="s">
        <v>167</v>
      </c>
      <c r="D61" s="103" t="s">
        <v>127</v>
      </c>
      <c r="E61" s="109" cm="1">
        <f t="array" ref="E61">INDEX(N61:Q61,case_number)</f>
        <v>0.87601845454409977</v>
      </c>
      <c r="F61" s="109" cm="1">
        <f t="array" aca="1" ref="F61" ca="1">INDIRECT(sheet_name&amp;"!gap.h")</f>
        <v>0.87601845454410032</v>
      </c>
      <c r="G61" s="118">
        <f t="shared" ca="1" si="2"/>
        <v>6.3367559145939581E-16</v>
      </c>
      <c r="H61" t="s">
        <v>166</v>
      </c>
      <c r="I61" s="146"/>
      <c r="J61" s="144"/>
      <c r="K61" s="145"/>
      <c r="L61" s="103" t="s">
        <v>167</v>
      </c>
      <c r="M61" s="103" t="s">
        <v>127</v>
      </c>
      <c r="N61" s="109">
        <v>0.87601845454409977</v>
      </c>
      <c r="O61" s="109">
        <v>1.6338216149415525</v>
      </c>
      <c r="P61" s="109">
        <v>2.6525058127308667</v>
      </c>
      <c r="Q61" s="109">
        <v>3.9552630780086151</v>
      </c>
      <c r="R61" t="str">
        <f t="shared" si="0"/>
        <v>Gap value used for calculation</v>
      </c>
      <c r="Z61" s="106"/>
      <c r="AA61" s="103" t="s">
        <v>371</v>
      </c>
      <c r="AB61" s="103" t="s">
        <v>127</v>
      </c>
      <c r="AC61" s="109">
        <v>0.77768332816019681</v>
      </c>
      <c r="AD61" s="109">
        <v>1.349547878014234</v>
      </c>
      <c r="AE61" s="109">
        <v>2.0873778911039058</v>
      </c>
      <c r="AF61" s="109">
        <v>3.0060257869038067</v>
      </c>
      <c r="AG61" t="s">
        <v>166</v>
      </c>
    </row>
    <row r="62" spans="2:33">
      <c r="B62" s="106">
        <f>B60+1</f>
        <v>20</v>
      </c>
      <c r="C62" s="103" t="s">
        <v>165</v>
      </c>
      <c r="D62" s="103"/>
      <c r="E62" s="128"/>
      <c r="F62" s="128"/>
      <c r="G62" s="128"/>
      <c r="H62" t="s">
        <v>164</v>
      </c>
      <c r="I62" s="146"/>
      <c r="J62" s="144"/>
      <c r="K62" s="145">
        <f>K60+1</f>
        <v>20</v>
      </c>
      <c r="L62" s="103" t="s">
        <v>165</v>
      </c>
      <c r="M62" s="103"/>
      <c r="N62" s="128"/>
      <c r="O62" s="128"/>
      <c r="P62" s="128"/>
      <c r="Q62" s="128"/>
      <c r="R62" t="str">
        <f t="shared" si="0"/>
        <v>Gap shape formula</v>
      </c>
      <c r="Z62" s="106">
        <v>20</v>
      </c>
      <c r="AA62" s="103" t="s">
        <v>165</v>
      </c>
      <c r="AB62" s="103"/>
      <c r="AC62" s="128"/>
      <c r="AD62" s="128"/>
      <c r="AE62" s="128"/>
      <c r="AF62" s="128"/>
      <c r="AG62" t="s">
        <v>164</v>
      </c>
    </row>
    <row r="63" spans="2:33">
      <c r="B63" s="106">
        <f>B62+1</f>
        <v>21</v>
      </c>
      <c r="C63" s="112" t="s">
        <v>163</v>
      </c>
      <c r="D63" s="103"/>
      <c r="E63" s="128"/>
      <c r="F63" s="128"/>
      <c r="G63" s="128"/>
      <c r="H63" t="s">
        <v>162</v>
      </c>
      <c r="I63" s="147"/>
      <c r="J63" s="144"/>
      <c r="K63" s="145">
        <f>K62+1</f>
        <v>21</v>
      </c>
      <c r="L63" s="112" t="s">
        <v>163</v>
      </c>
      <c r="M63" s="103"/>
      <c r="N63" s="128"/>
      <c r="O63" s="128"/>
      <c r="P63" s="128"/>
      <c r="Q63" s="128"/>
      <c r="R63" t="str">
        <f t="shared" si="0"/>
        <v>Stress range formula</v>
      </c>
      <c r="Z63" s="106">
        <v>21</v>
      </c>
      <c r="AA63" s="112" t="s">
        <v>163</v>
      </c>
      <c r="AB63" s="103"/>
      <c r="AC63" s="128"/>
      <c r="AD63" s="128"/>
      <c r="AE63" s="128"/>
      <c r="AF63" s="128"/>
      <c r="AG63" t="s">
        <v>162</v>
      </c>
    </row>
    <row r="64" spans="2:33" ht="15.6">
      <c r="B64" s="106">
        <f>B63+1</f>
        <v>22</v>
      </c>
      <c r="C64" s="103" t="s">
        <v>161</v>
      </c>
      <c r="D64" s="103"/>
      <c r="E64" s="104"/>
      <c r="F64" s="104"/>
      <c r="G64" s="104"/>
      <c r="I64" s="146"/>
      <c r="J64" s="144"/>
      <c r="K64" s="145">
        <f>K63+1</f>
        <v>22</v>
      </c>
      <c r="L64" s="103" t="s">
        <v>161</v>
      </c>
      <c r="M64" s="103"/>
      <c r="N64" s="104"/>
      <c r="O64" s="104"/>
      <c r="P64" s="104"/>
      <c r="Q64" s="104"/>
      <c r="R64" t="str">
        <f t="shared" si="0"/>
        <v/>
      </c>
      <c r="Z64" s="106">
        <v>22</v>
      </c>
      <c r="AA64" s="103" t="s">
        <v>372</v>
      </c>
      <c r="AB64" s="103"/>
      <c r="AC64" s="104"/>
      <c r="AD64" s="104"/>
      <c r="AE64" s="104"/>
      <c r="AF64" s="104"/>
      <c r="AG64" t="s">
        <v>347</v>
      </c>
    </row>
    <row r="65" spans="2:33" ht="15.6">
      <c r="B65" s="106">
        <f>B64+1</f>
        <v>23</v>
      </c>
      <c r="C65" s="103" t="s">
        <v>160</v>
      </c>
      <c r="D65" s="103"/>
      <c r="E65" s="104"/>
      <c r="F65" s="104"/>
      <c r="G65" s="104"/>
      <c r="I65" s="146"/>
      <c r="J65" s="144"/>
      <c r="K65" s="145">
        <f>K64+1</f>
        <v>23</v>
      </c>
      <c r="L65" s="103" t="s">
        <v>160</v>
      </c>
      <c r="M65" s="103"/>
      <c r="N65" s="104"/>
      <c r="O65" s="104"/>
      <c r="P65" s="104"/>
      <c r="Q65" s="104"/>
      <c r="R65" t="str">
        <f t="shared" si="0"/>
        <v/>
      </c>
      <c r="Z65" s="106">
        <v>23</v>
      </c>
      <c r="AA65" s="103" t="s">
        <v>373</v>
      </c>
      <c r="AB65" s="103"/>
      <c r="AC65" s="104"/>
      <c r="AD65" s="104"/>
      <c r="AE65" s="104"/>
      <c r="AF65" s="104"/>
      <c r="AG65" t="s">
        <v>347</v>
      </c>
    </row>
    <row r="66" spans="2:33" ht="15.6">
      <c r="B66" s="106">
        <f>B65+1</f>
        <v>24</v>
      </c>
      <c r="C66" s="103" t="s">
        <v>159</v>
      </c>
      <c r="D66" s="103"/>
      <c r="E66" s="128"/>
      <c r="F66" s="128"/>
      <c r="G66" s="128"/>
      <c r="H66" t="s">
        <v>158</v>
      </c>
      <c r="I66" s="146"/>
      <c r="J66" s="144"/>
      <c r="K66" s="145">
        <f>K65+1</f>
        <v>24</v>
      </c>
      <c r="L66" s="103" t="s">
        <v>159</v>
      </c>
      <c r="M66" s="103"/>
      <c r="N66" s="128"/>
      <c r="O66" s="128"/>
      <c r="P66" s="128"/>
      <c r="Q66" s="128"/>
      <c r="R66" t="str">
        <f t="shared" si="0"/>
        <v>Summarized formula for bolt force curve</v>
      </c>
      <c r="Z66" s="106">
        <v>24</v>
      </c>
      <c r="AA66" s="103" t="s">
        <v>374</v>
      </c>
      <c r="AB66" s="103"/>
      <c r="AC66" s="128"/>
      <c r="AD66" s="128"/>
      <c r="AE66" s="128"/>
      <c r="AF66" s="128"/>
      <c r="AG66" t="s">
        <v>158</v>
      </c>
    </row>
    <row r="67" spans="2:33" ht="15.6">
      <c r="B67" s="106"/>
      <c r="C67" s="103" t="s">
        <v>322</v>
      </c>
      <c r="D67" s="103" t="s">
        <v>129</v>
      </c>
      <c r="E67" s="109" cm="1">
        <f t="array" ref="E67">INDEX(N67:Q67,case_number)</f>
        <v>-123.29166666666667</v>
      </c>
      <c r="F67" s="109" cm="1">
        <f t="array" aca="1" ref="F67" ca="1">INDIRECT(sheet_name&amp;"!Point1.Z")</f>
        <v>-123.29166666666667</v>
      </c>
      <c r="G67" s="118">
        <f t="shared" ref="G67" ca="1" si="3">(F67-E67)/E67</f>
        <v>0</v>
      </c>
      <c r="K67" s="106"/>
      <c r="L67" s="103" t="s">
        <v>322</v>
      </c>
      <c r="M67" s="103" t="s">
        <v>129</v>
      </c>
      <c r="N67" s="109">
        <v>-123.29166666666667</v>
      </c>
      <c r="O67" s="109">
        <v>-123.29166666666667</v>
      </c>
      <c r="P67" s="109">
        <v>-123.29166666666667</v>
      </c>
      <c r="Q67" s="109">
        <v>-123.29166666666667</v>
      </c>
      <c r="Z67" s="106"/>
      <c r="AA67" s="103" t="s">
        <v>375</v>
      </c>
      <c r="AB67" s="103" t="s">
        <v>129</v>
      </c>
      <c r="AC67" s="109">
        <v>-30.138888888888889</v>
      </c>
      <c r="AD67" s="109">
        <v>-30.138888888888889</v>
      </c>
      <c r="AE67" s="109">
        <v>-30.138888888888889</v>
      </c>
      <c r="AF67" s="109">
        <v>-30.138888888888889</v>
      </c>
    </row>
    <row r="68" spans="2:33" ht="15.6">
      <c r="B68" s="106"/>
      <c r="C68" s="103" t="s">
        <v>321</v>
      </c>
      <c r="D68" s="103" t="s">
        <v>129</v>
      </c>
      <c r="E68" s="107" cm="1">
        <f t="array" ref="E68">INDEX(N68:Q68,case_number)</f>
        <v>2876</v>
      </c>
      <c r="F68" s="107" cm="1">
        <f t="array" aca="1" ref="F68" ca="1">INDIRECT(sheet_name&amp;"!Point1.Fs")</f>
        <v>2876</v>
      </c>
      <c r="G68" s="118">
        <f t="shared" ref="G68:G72" ca="1" si="4">(F68-E68)/E68</f>
        <v>0</v>
      </c>
      <c r="K68" s="106"/>
      <c r="L68" s="103" t="s">
        <v>321</v>
      </c>
      <c r="M68" s="103" t="s">
        <v>129</v>
      </c>
      <c r="N68" s="109">
        <v>2876</v>
      </c>
      <c r="O68" s="109">
        <v>2876</v>
      </c>
      <c r="P68" s="109">
        <v>2876</v>
      </c>
      <c r="Q68" s="109">
        <v>2876</v>
      </c>
      <c r="Z68" s="106"/>
      <c r="AA68" s="103" t="s">
        <v>376</v>
      </c>
      <c r="AB68" s="103" t="s">
        <v>129</v>
      </c>
      <c r="AC68" s="109">
        <v>808.99913815980972</v>
      </c>
      <c r="AD68" s="109">
        <v>808.99913815980972</v>
      </c>
      <c r="AE68" s="109">
        <v>808.99913815980972</v>
      </c>
      <c r="AF68" s="109">
        <v>808.99913815980972</v>
      </c>
    </row>
    <row r="69" spans="2:33" ht="15.6">
      <c r="B69" s="106"/>
      <c r="C69" s="103" t="s">
        <v>320</v>
      </c>
      <c r="D69" s="103" t="s">
        <v>129</v>
      </c>
      <c r="E69" s="108" cm="1">
        <f t="array" ref="E69">INDEX(N69:Q69,case_number)</f>
        <v>2005.9791663249318</v>
      </c>
      <c r="F69" s="108" cm="1">
        <f t="array" aca="1" ref="F69" ca="1">INDIRECT(sheet_name&amp;"!Point2.Z")</f>
        <v>2006.0201338579991</v>
      </c>
      <c r="G69" s="118">
        <f t="shared" ca="1" si="4"/>
        <v>2.0422711140273068E-5</v>
      </c>
      <c r="K69" s="106"/>
      <c r="L69" s="103" t="s">
        <v>320</v>
      </c>
      <c r="M69" s="103" t="s">
        <v>129</v>
      </c>
      <c r="N69" s="109">
        <v>2005.9791663249318</v>
      </c>
      <c r="O69" s="109">
        <v>1698.4770142338571</v>
      </c>
      <c r="P69" s="109">
        <v>1595.9900029492692</v>
      </c>
      <c r="Q69" s="109">
        <v>1541.0054120283587</v>
      </c>
      <c r="Z69" s="106"/>
      <c r="AA69" s="103" t="s">
        <v>377</v>
      </c>
      <c r="AB69" s="103" t="s">
        <v>129</v>
      </c>
      <c r="AC69" s="109">
        <v>564.99106144430425</v>
      </c>
      <c r="AD69" s="109">
        <v>600.90446861263388</v>
      </c>
      <c r="AE69" s="109">
        <v>606.3478747816921</v>
      </c>
      <c r="AF69" s="109">
        <v>608.41367566097222</v>
      </c>
    </row>
    <row r="70" spans="2:33" ht="15.6">
      <c r="B70" s="106"/>
      <c r="C70" s="103" t="s">
        <v>319</v>
      </c>
      <c r="D70" s="103" t="s">
        <v>129</v>
      </c>
      <c r="E70" s="107" cm="1">
        <f t="array" ref="E70">INDEX(N70:Q70,case_number)</f>
        <v>3595</v>
      </c>
      <c r="F70" s="107" cm="1">
        <f t="array" aca="1" ref="F70" ca="1">INDIRECT(sheet_name&amp;"!Point2.Fs")</f>
        <v>3595</v>
      </c>
      <c r="G70" s="118">
        <f t="shared" ca="1" si="4"/>
        <v>0</v>
      </c>
      <c r="K70" s="106"/>
      <c r="L70" s="103" t="s">
        <v>319</v>
      </c>
      <c r="M70" s="103" t="s">
        <v>129</v>
      </c>
      <c r="N70" s="109">
        <v>3595</v>
      </c>
      <c r="O70" s="109">
        <v>3595</v>
      </c>
      <c r="P70" s="109">
        <v>3595</v>
      </c>
      <c r="Q70" s="109">
        <v>3595</v>
      </c>
      <c r="Z70" s="106"/>
      <c r="AA70" s="103" t="s">
        <v>378</v>
      </c>
      <c r="AB70" s="103" t="s">
        <v>129</v>
      </c>
      <c r="AC70" s="109">
        <v>1103.1006982045617</v>
      </c>
      <c r="AD70" s="109">
        <v>1103.1006982045617</v>
      </c>
      <c r="AE70" s="109">
        <v>1103.1006982045617</v>
      </c>
      <c r="AF70" s="109">
        <v>1103.1006982045617</v>
      </c>
    </row>
    <row r="71" spans="2:33" ht="15.6">
      <c r="B71" s="106"/>
      <c r="C71" s="103" t="s">
        <v>318</v>
      </c>
      <c r="D71" s="103" t="s">
        <v>129</v>
      </c>
      <c r="E71" s="107" cm="1">
        <f t="array" ref="E71">INDEX(N71:Q71,case_number)</f>
        <v>244.94742536995892</v>
      </c>
      <c r="F71" s="107" cm="1">
        <f t="array" aca="1" ref="F71" ca="1">INDIRECT(sheet_name&amp;"!Point3.Z")</f>
        <v>244.95252049918741</v>
      </c>
      <c r="G71" s="118">
        <f t="shared" ca="1" si="4"/>
        <v>2.0800909504552055E-5</v>
      </c>
      <c r="K71" s="106"/>
      <c r="L71" s="103" t="s">
        <v>318</v>
      </c>
      <c r="M71" s="103" t="s">
        <v>129</v>
      </c>
      <c r="N71" s="109">
        <v>244.94742536995892</v>
      </c>
      <c r="O71" s="109">
        <v>138.78694642015648</v>
      </c>
      <c r="P71" s="109">
        <v>121.65181485180494</v>
      </c>
      <c r="Q71" s="109">
        <v>114.92158217798261</v>
      </c>
      <c r="Z71" s="106"/>
      <c r="AA71" s="103" t="s">
        <v>379</v>
      </c>
      <c r="AB71" s="103" t="s">
        <v>129</v>
      </c>
      <c r="AC71" s="109">
        <v>57.880991957583241</v>
      </c>
      <c r="AD71" s="109">
        <v>40.092114426322802</v>
      </c>
      <c r="AE71" s="109">
        <v>37.932765944767311</v>
      </c>
      <c r="AF71" s="109">
        <v>37.127690761952316</v>
      </c>
    </row>
    <row r="72" spans="2:33" ht="15.6">
      <c r="B72" s="106"/>
      <c r="C72" s="103" t="s">
        <v>317</v>
      </c>
      <c r="D72" s="103" t="s">
        <v>129</v>
      </c>
      <c r="E72" s="107" cm="1">
        <f t="array" ref="E72">INDEX(N72:Q72,case_number)</f>
        <v>2920.508028459114</v>
      </c>
      <c r="F72" s="107" cm="1">
        <f t="array" aca="1" ref="F72" ca="1">INDIRECT(sheet_name&amp;"!Point3.Fs")</f>
        <v>2920.5071180545924</v>
      </c>
      <c r="G72" s="118">
        <f t="shared" ca="1" si="4"/>
        <v>-3.1172813522426596E-7</v>
      </c>
      <c r="K72" s="106"/>
      <c r="L72" s="103" t="s">
        <v>317</v>
      </c>
      <c r="M72" s="103" t="s">
        <v>129</v>
      </c>
      <c r="N72" s="109">
        <v>2920.508028459114</v>
      </c>
      <c r="O72" s="109">
        <v>2896.8181331095325</v>
      </c>
      <c r="P72" s="109">
        <v>2893.2478229684516</v>
      </c>
      <c r="Q72" s="109">
        <v>2892.0672729425942</v>
      </c>
      <c r="Z72" s="106"/>
      <c r="AA72" s="103" t="s">
        <v>380</v>
      </c>
      <c r="AB72" s="103" t="s">
        <v>129</v>
      </c>
      <c r="AC72" s="109">
        <v>819.26437142240161</v>
      </c>
      <c r="AD72" s="109">
        <v>813.00847802715259</v>
      </c>
      <c r="AE72" s="109">
        <v>812.11238963316589</v>
      </c>
      <c r="AF72" s="109">
        <v>811.76736347545329</v>
      </c>
    </row>
    <row r="73" spans="2:33" ht="15.6">
      <c r="B73" s="106"/>
      <c r="C73" s="103" t="s">
        <v>316</v>
      </c>
      <c r="D73" s="103"/>
      <c r="E73" s="107" cm="1">
        <f t="array" ref="E73">INDEX(N73:Q73,case_number)</f>
        <v>1380791102.7342598</v>
      </c>
      <c r="F73" s="110" t="s">
        <v>87</v>
      </c>
      <c r="G73" s="110"/>
      <c r="K73" s="106"/>
      <c r="L73" s="103" t="s">
        <v>316</v>
      </c>
      <c r="M73" s="103"/>
      <c r="N73" s="110">
        <v>1380791102.7342598</v>
      </c>
      <c r="O73" s="110">
        <v>744668734.36700821</v>
      </c>
      <c r="P73" s="110">
        <v>620883379.09948421</v>
      </c>
      <c r="Q73" s="110">
        <v>565381792.77264023</v>
      </c>
      <c r="Z73" s="106"/>
      <c r="AA73" s="103" t="s">
        <v>381</v>
      </c>
      <c r="AB73" s="103"/>
      <c r="AC73" s="110">
        <v>26564082.328809023</v>
      </c>
      <c r="AD73" s="110">
        <v>24854535.123648729</v>
      </c>
      <c r="AE73" s="110">
        <v>24627555.03568396</v>
      </c>
      <c r="AF73" s="110">
        <v>24538587.985323582</v>
      </c>
    </row>
    <row r="74" spans="2:33" ht="15.6">
      <c r="B74" s="106"/>
      <c r="C74" s="103" t="s">
        <v>315</v>
      </c>
      <c r="D74" s="103"/>
      <c r="E74" s="107" cm="1">
        <f t="array" ref="E74">INDEX(N74:Q74,case_number)</f>
        <v>169994.2603423823</v>
      </c>
      <c r="F74" s="111" t="s">
        <v>87</v>
      </c>
      <c r="G74" s="111"/>
      <c r="K74" s="106"/>
      <c r="L74" s="103" t="s">
        <v>315</v>
      </c>
      <c r="M74" s="103"/>
      <c r="N74" s="111">
        <v>169994.2603423823</v>
      </c>
      <c r="O74" s="111">
        <v>150508.69991566136</v>
      </c>
      <c r="P74" s="111">
        <v>146460.49734134154</v>
      </c>
      <c r="Q74" s="111">
        <v>144534.61049834773</v>
      </c>
      <c r="Z74" s="106"/>
      <c r="AA74" s="103" t="s">
        <v>382</v>
      </c>
      <c r="AB74" s="103"/>
      <c r="AC74" s="111">
        <v>19777.636510175686</v>
      </c>
      <c r="AD74" s="111">
        <v>18124.980347259152</v>
      </c>
      <c r="AE74" s="111">
        <v>18038.43652663703</v>
      </c>
      <c r="AF74" s="111">
        <v>18015.548639630913</v>
      </c>
    </row>
    <row r="75" spans="2:33" ht="15.6">
      <c r="B75" s="106"/>
      <c r="C75" s="103" t="s">
        <v>314</v>
      </c>
      <c r="D75" s="103"/>
      <c r="E75" s="107" cm="1">
        <f t="array" ref="E75">INDEX(N75:Q75,case_number)</f>
        <v>146211575.433002</v>
      </c>
      <c r="F75" s="111" t="s">
        <v>87</v>
      </c>
      <c r="G75" s="111"/>
      <c r="K75" s="106"/>
      <c r="L75" s="103" t="s">
        <v>314</v>
      </c>
      <c r="M75" s="103"/>
      <c r="N75" s="111">
        <v>146211575.433002</v>
      </c>
      <c r="O75" s="111">
        <v>56820354.870538741</v>
      </c>
      <c r="P75" s="111">
        <v>43960000.389879838</v>
      </c>
      <c r="Q75" s="111">
        <v>39344268.761864878</v>
      </c>
      <c r="Z75" s="106"/>
      <c r="AA75" s="103" t="s">
        <v>383</v>
      </c>
      <c r="AB75" s="103"/>
      <c r="AC75" s="111">
        <v>2549337.1154325213</v>
      </c>
      <c r="AD75" s="111">
        <v>1238490.9765994144</v>
      </c>
      <c r="AE75" s="111">
        <v>985749.82509730884</v>
      </c>
      <c r="AF75" s="111">
        <v>883930.78411035344</v>
      </c>
    </row>
    <row r="76" spans="2:33" ht="15.6">
      <c r="B76" s="106"/>
      <c r="C76" s="105" t="s">
        <v>313</v>
      </c>
      <c r="D76" s="103"/>
      <c r="E76" s="148" cm="1">
        <f t="array" ref="E76">INDEX(N76:Q76,case_number)</f>
        <v>1.2311367013138883E-4</v>
      </c>
      <c r="F76" s="148" cm="1">
        <f t="array" aca="1" ref="F76" ca="1">INDIRECT(sheet_name&amp;"!Fs_coeff.tens.2")*1000</f>
        <v>1.2310982670610119E-4</v>
      </c>
      <c r="G76" s="118">
        <f t="shared" ref="G76:G78" ca="1" si="5">(F76-E76)/E76</f>
        <v>-3.1218509557364577E-5</v>
      </c>
      <c r="K76" s="106"/>
      <c r="L76" s="105" t="s">
        <v>313</v>
      </c>
      <c r="M76" s="103"/>
      <c r="N76" s="139">
        <v>1.2311367013138883E-4</v>
      </c>
      <c r="O76" s="139">
        <v>2.0211497135514691E-4</v>
      </c>
      <c r="P76" s="139">
        <v>2.3589051063625615E-4</v>
      </c>
      <c r="Q76" s="139">
        <v>2.5564072339427131E-4</v>
      </c>
      <c r="Z76" s="106"/>
      <c r="AA76" s="105" t="s">
        <v>384</v>
      </c>
      <c r="AB76" s="103"/>
      <c r="AC76" s="139">
        <v>7.4452549368613549E-4</v>
      </c>
      <c r="AD76" s="139">
        <v>7.2924237999581396E-4</v>
      </c>
      <c r="AE76" s="139">
        <v>7.324493438548949E-4</v>
      </c>
      <c r="AF76" s="139">
        <v>7.3417218017621602E-4</v>
      </c>
    </row>
    <row r="77" spans="2:33" ht="15.6">
      <c r="B77" s="106"/>
      <c r="C77" s="105" t="s">
        <v>312</v>
      </c>
      <c r="D77" s="103"/>
      <c r="E77" s="148" cm="1">
        <f t="array" ref="E77">INDEX(N77:Q77,case_number)</f>
        <v>0.1058897143409108</v>
      </c>
      <c r="F77" s="148" cm="1">
        <f t="array" aca="1" ref="F77" ca="1">INDIRECT(sheet_name&amp;"!Fs_coeff.tens.1")</f>
        <v>0.10588541001812402</v>
      </c>
      <c r="G77" s="118">
        <f t="shared" ca="1" si="5"/>
        <v>-4.0649111328436829E-5</v>
      </c>
      <c r="K77" s="106"/>
      <c r="L77" s="105" t="s">
        <v>312</v>
      </c>
      <c r="M77" s="103"/>
      <c r="N77" s="139">
        <v>0.1058897143409108</v>
      </c>
      <c r="O77" s="139">
        <v>7.6302860920886964E-2</v>
      </c>
      <c r="P77" s="139">
        <v>7.0802346897477705E-2</v>
      </c>
      <c r="Q77" s="139">
        <v>6.9588849985635429E-2</v>
      </c>
      <c r="Z77" s="106"/>
      <c r="AA77" s="105" t="s">
        <v>385</v>
      </c>
      <c r="AB77" s="103"/>
      <c r="AC77" s="139">
        <v>9.5969327450387346E-2</v>
      </c>
      <c r="AD77" s="139">
        <v>4.982957719539112E-2</v>
      </c>
      <c r="AE77" s="139">
        <v>4.0026296709885008E-2</v>
      </c>
      <c r="AF77" s="139">
        <v>3.6022072037683199E-2</v>
      </c>
    </row>
    <row r="78" spans="2:33" ht="14.4">
      <c r="B78" s="106"/>
      <c r="C78" s="112" t="s">
        <v>311</v>
      </c>
      <c r="D78" s="103"/>
      <c r="E78" s="108" cm="1">
        <f t="array" ref="E78">INDEX(N78:Q78,case_number)</f>
        <v>2887.1838887694867</v>
      </c>
      <c r="F78" s="107" cm="1">
        <f t="array" aca="1" ref="F78" ca="1">INDIRECT(sheet_name&amp;"!Fs_coeff.tens.0")/1000</f>
        <v>2887.1834165056307</v>
      </c>
      <c r="G78" s="118">
        <f t="shared" ca="1" si="5"/>
        <v>-1.6357248936973767E-7</v>
      </c>
      <c r="K78" s="106"/>
      <c r="L78" s="112" t="s">
        <v>311</v>
      </c>
      <c r="M78" s="103"/>
      <c r="N78" s="108">
        <v>2887.1838887694867</v>
      </c>
      <c r="O78" s="108">
        <v>2882.3351905497361</v>
      </c>
      <c r="P78" s="108">
        <v>2881.1436066062729</v>
      </c>
      <c r="Q78" s="108">
        <v>2880.6937728227958</v>
      </c>
      <c r="Z78" s="106"/>
      <c r="AA78" s="112" t="s">
        <v>386</v>
      </c>
      <c r="AB78" s="103"/>
      <c r="AC78" s="108">
        <v>811.21525537115815</v>
      </c>
      <c r="AD78" s="108">
        <v>809.83853702127681</v>
      </c>
      <c r="AE78" s="108">
        <v>809.54016398594285</v>
      </c>
      <c r="AF78" s="108">
        <v>809.41791616056889</v>
      </c>
    </row>
    <row r="79" spans="2:33" ht="15.6">
      <c r="B79" s="106">
        <f>B66+1</f>
        <v>25</v>
      </c>
      <c r="C79" s="105" t="s">
        <v>157</v>
      </c>
      <c r="D79" s="103" t="s">
        <v>129</v>
      </c>
      <c r="E79" s="107" cm="1">
        <f t="array" ref="E79">INDEX(N79:Q79,case_number)</f>
        <v>1221.3620300054099</v>
      </c>
      <c r="F79" s="107" cm="1">
        <f t="array" aca="1" ref="F79" ca="1">-INDIRECT(sheet_name&amp;"!DZ_gap")</f>
        <v>1221.362350291158</v>
      </c>
      <c r="G79" s="118">
        <f ca="1">(F79-E79)/E79</f>
        <v>2.6223653612468572E-7</v>
      </c>
      <c r="I79" s="141"/>
      <c r="K79" s="106">
        <f>K66+1</f>
        <v>25</v>
      </c>
      <c r="L79" s="105" t="s">
        <v>157</v>
      </c>
      <c r="M79" s="103" t="s">
        <v>129</v>
      </c>
      <c r="N79" s="107">
        <v>1221.3620300054099</v>
      </c>
      <c r="O79" s="107">
        <v>802.68684894274077</v>
      </c>
      <c r="P79" s="107">
        <v>711.5482385942081</v>
      </c>
      <c r="Q79" s="107">
        <v>681.5727326421669</v>
      </c>
      <c r="R79" t="str">
        <f t="shared" ref="R79:R120" si="6">IF(H79&lt;&gt;"",H79,"")</f>
        <v/>
      </c>
      <c r="Z79" s="106">
        <v>25</v>
      </c>
      <c r="AA79" s="105" t="s">
        <v>387</v>
      </c>
      <c r="AB79" s="103" t="s">
        <v>129</v>
      </c>
      <c r="AC79" s="107">
        <v>367.16422952629608</v>
      </c>
      <c r="AD79" s="107">
        <v>179.72823837335213</v>
      </c>
      <c r="AE79" s="107">
        <v>143.98598165084377</v>
      </c>
      <c r="AF79" s="107">
        <v>129.56103491512195</v>
      </c>
      <c r="AG79" t="s">
        <v>347</v>
      </c>
    </row>
    <row r="80" spans="2:33" ht="15.6">
      <c r="B80" s="106"/>
      <c r="C80" s="103" t="s">
        <v>146</v>
      </c>
      <c r="D80" s="103" t="s">
        <v>145</v>
      </c>
      <c r="E80" s="111" cm="1">
        <f t="array" ref="E80">INDEX(N80:Q80,case_number)</f>
        <v>38819.613222857879</v>
      </c>
      <c r="F80" s="111" t="s">
        <v>87</v>
      </c>
      <c r="G80" s="111"/>
      <c r="I80" s="140"/>
      <c r="K80" s="106"/>
      <c r="L80" s="103" t="s">
        <v>146</v>
      </c>
      <c r="M80" s="103" t="s">
        <v>145</v>
      </c>
      <c r="N80" s="111">
        <v>38819.613222857879</v>
      </c>
      <c r="O80" s="111">
        <v>38819.613222857879</v>
      </c>
      <c r="P80" s="111">
        <v>38819.613222857879</v>
      </c>
      <c r="Q80" s="111">
        <v>38819.613222857879</v>
      </c>
      <c r="R80" t="str">
        <f t="shared" si="6"/>
        <v/>
      </c>
      <c r="Z80" s="106"/>
      <c r="AA80" s="103" t="s">
        <v>388</v>
      </c>
      <c r="AB80" s="103" t="s">
        <v>145</v>
      </c>
      <c r="AC80" s="111">
        <v>12462.741690022009</v>
      </c>
      <c r="AD80" s="111">
        <v>12462.741690022009</v>
      </c>
      <c r="AE80" s="111">
        <v>12462.741690022009</v>
      </c>
      <c r="AF80" s="111">
        <v>12462.741690022009</v>
      </c>
      <c r="AG80" t="s">
        <v>347</v>
      </c>
    </row>
    <row r="81" spans="2:33" ht="16.8">
      <c r="B81" s="106"/>
      <c r="C81" s="103" t="s">
        <v>144</v>
      </c>
      <c r="D81" s="103" t="s">
        <v>275</v>
      </c>
      <c r="E81" s="114" cm="1">
        <f t="array" ref="E81">INDEX(N81:Q81,case_number)</f>
        <v>129398710.7428596</v>
      </c>
      <c r="F81" s="114" cm="1">
        <f t="array" aca="1" ref="F81" ca="1">INDIRECT(sheet_name&amp;"!I_tg")</f>
        <v>129398710.74285959</v>
      </c>
      <c r="G81" s="118">
        <f t="shared" ref="G81:G83" ca="1" si="7">(F81-E81)/E81</f>
        <v>-1.1515695255619016E-16</v>
      </c>
      <c r="I81" s="140"/>
      <c r="K81" s="106"/>
      <c r="L81" s="103" t="s">
        <v>144</v>
      </c>
      <c r="M81" s="103" t="s">
        <v>275</v>
      </c>
      <c r="N81" s="138">
        <v>129398710.7428596</v>
      </c>
      <c r="O81" s="138">
        <v>129398710.7428596</v>
      </c>
      <c r="P81" s="138">
        <v>129398710.7428596</v>
      </c>
      <c r="Q81" s="138">
        <v>129398710.7428596</v>
      </c>
      <c r="R81" t="str">
        <f t="shared" si="6"/>
        <v/>
      </c>
      <c r="Z81" s="106"/>
      <c r="AA81" s="103" t="s">
        <v>389</v>
      </c>
      <c r="AB81" s="103" t="s">
        <v>390</v>
      </c>
      <c r="AC81" s="138">
        <v>16227528.242216157</v>
      </c>
      <c r="AD81" s="138">
        <v>16227528.242216157</v>
      </c>
      <c r="AE81" s="138">
        <v>16227528.242216157</v>
      </c>
      <c r="AF81" s="138">
        <v>16227528.242216157</v>
      </c>
      <c r="AG81" t="s">
        <v>347</v>
      </c>
    </row>
    <row r="82" spans="2:33" ht="15.6">
      <c r="B82" s="106"/>
      <c r="C82" s="103" t="s">
        <v>150</v>
      </c>
      <c r="D82" s="103" t="s">
        <v>145</v>
      </c>
      <c r="E82" s="111" cm="1">
        <f t="array" ref="E82">INDEX(N82:Q82,case_number)</f>
        <v>87000</v>
      </c>
      <c r="F82" s="111" cm="1">
        <f t="array" aca="1" ref="F82" ca="1">INDIRECT(sheet_name&amp;"!flange.A_cf")</f>
        <v>87000.000000000029</v>
      </c>
      <c r="G82" s="118">
        <f t="shared" ca="1" si="7"/>
        <v>3.3452678685900808E-16</v>
      </c>
      <c r="I82" s="140"/>
      <c r="K82" s="106"/>
      <c r="L82" s="103" t="s">
        <v>150</v>
      </c>
      <c r="M82" s="103" t="s">
        <v>145</v>
      </c>
      <c r="N82" s="111">
        <v>87000</v>
      </c>
      <c r="O82" s="111">
        <v>87000</v>
      </c>
      <c r="P82" s="111">
        <v>87000</v>
      </c>
      <c r="Q82" s="111">
        <v>87000</v>
      </c>
      <c r="R82" t="str">
        <f t="shared" si="6"/>
        <v/>
      </c>
      <c r="Z82" s="106"/>
      <c r="AA82" s="103" t="s">
        <v>391</v>
      </c>
      <c r="AB82" s="103" t="s">
        <v>145</v>
      </c>
      <c r="AC82" s="111">
        <v>31875</v>
      </c>
      <c r="AD82" s="111">
        <v>31875</v>
      </c>
      <c r="AE82" s="111">
        <v>31875</v>
      </c>
      <c r="AF82" s="111">
        <v>31875</v>
      </c>
      <c r="AG82" t="s">
        <v>347</v>
      </c>
    </row>
    <row r="83" spans="2:33" ht="16.8">
      <c r="B83" s="106"/>
      <c r="C83" s="103" t="s">
        <v>149</v>
      </c>
      <c r="D83" s="103" t="s">
        <v>275</v>
      </c>
      <c r="E83" s="114" cm="1">
        <f t="array" ref="E83">INDEX(N83:Q83,case_number)</f>
        <v>290000000</v>
      </c>
      <c r="F83" s="114" cm="1">
        <f t="array" aca="1" ref="F83" ca="1">INDIRECT(sheet_name&amp;"!flange.I_cf")</f>
        <v>290000000.00000006</v>
      </c>
      <c r="G83" s="118">
        <f t="shared" ca="1" si="7"/>
        <v>2.0553325784617456E-16</v>
      </c>
      <c r="I83" s="140"/>
      <c r="K83" s="106"/>
      <c r="L83" s="103" t="s">
        <v>149</v>
      </c>
      <c r="M83" s="103" t="s">
        <v>275</v>
      </c>
      <c r="N83" s="138">
        <v>290000000</v>
      </c>
      <c r="O83" s="138">
        <v>290000000</v>
      </c>
      <c r="P83" s="138">
        <v>290000000</v>
      </c>
      <c r="Q83" s="138">
        <v>290000000</v>
      </c>
      <c r="R83" t="str">
        <f t="shared" si="6"/>
        <v/>
      </c>
      <c r="Z83" s="106"/>
      <c r="AA83" s="103" t="s">
        <v>392</v>
      </c>
      <c r="AB83" s="103" t="s">
        <v>390</v>
      </c>
      <c r="AC83" s="138">
        <v>41503906.25</v>
      </c>
      <c r="AD83" s="138">
        <v>41503906.25</v>
      </c>
      <c r="AE83" s="138">
        <v>41503906.25</v>
      </c>
      <c r="AF83" s="138">
        <v>41503906.25</v>
      </c>
      <c r="AG83" t="s">
        <v>347</v>
      </c>
    </row>
    <row r="84" spans="2:33" ht="15.6">
      <c r="B84" s="106">
        <f>B79+1</f>
        <v>26</v>
      </c>
      <c r="C84" s="103" t="s">
        <v>156</v>
      </c>
      <c r="D84" s="103" t="s">
        <v>136</v>
      </c>
      <c r="E84" s="111" cm="1">
        <f t="array" ref="E84">INDEX(N84:Q84,case_number)</f>
        <v>14366.135107106511</v>
      </c>
      <c r="F84" s="111" cm="1">
        <f t="array" aca="1" ref="F84" ca="1">INDIRECT(sheet_name&amp;"!gap.stiffness")</f>
        <v>14366.138874432012</v>
      </c>
      <c r="G84" s="118">
        <f ca="1">(F84-E84)/E84</f>
        <v>2.6223653564046192E-7</v>
      </c>
      <c r="I84" s="140"/>
      <c r="K84" s="106">
        <f>K79+1</f>
        <v>26</v>
      </c>
      <c r="L84" s="103" t="s">
        <v>156</v>
      </c>
      <c r="M84" s="103" t="s">
        <v>136</v>
      </c>
      <c r="N84" s="111">
        <v>14366.135107106511</v>
      </c>
      <c r="O84" s="111">
        <v>5062.3281975086429</v>
      </c>
      <c r="P84" s="111">
        <v>2764.1193483222332</v>
      </c>
      <c r="Q84" s="111">
        <v>1775.6019758133866</v>
      </c>
      <c r="R84" t="str">
        <f t="shared" si="6"/>
        <v/>
      </c>
      <c r="Z84" s="106">
        <v>26</v>
      </c>
      <c r="AA84" s="103" t="s">
        <v>393</v>
      </c>
      <c r="AB84" s="103" t="s">
        <v>136</v>
      </c>
      <c r="AC84" s="111">
        <v>9470.7416620040567</v>
      </c>
      <c r="AD84" s="111">
        <v>2671.4954317364864</v>
      </c>
      <c r="AE84" s="111">
        <v>1383.7114904903785</v>
      </c>
      <c r="AF84" s="111">
        <v>864.58584624042021</v>
      </c>
      <c r="AG84" t="s">
        <v>347</v>
      </c>
    </row>
    <row r="85" spans="2:33" ht="15.6">
      <c r="B85" s="106">
        <f>B84+1</f>
        <v>27</v>
      </c>
      <c r="C85" s="103" t="s">
        <v>153</v>
      </c>
      <c r="D85" s="103" t="s">
        <v>136</v>
      </c>
      <c r="E85" s="111" cm="1">
        <f t="array" ref="E85">INDEX(N85:Q85,case_number)</f>
        <v>4747.6491403977416</v>
      </c>
      <c r="F85" s="111" t="s">
        <v>87</v>
      </c>
      <c r="G85" s="111"/>
      <c r="H85" t="s">
        <v>155</v>
      </c>
      <c r="I85" s="140"/>
      <c r="K85" s="106">
        <f>K84+1</f>
        <v>27</v>
      </c>
      <c r="L85" s="103" t="s">
        <v>153</v>
      </c>
      <c r="M85" s="103" t="s">
        <v>136</v>
      </c>
      <c r="N85" s="111">
        <v>4747.6491403977416</v>
      </c>
      <c r="O85" s="111">
        <v>1990.4379337589339</v>
      </c>
      <c r="P85" s="111">
        <v>1050.2469446066798</v>
      </c>
      <c r="Q85" s="111">
        <v>591.4518990117981</v>
      </c>
      <c r="R85" t="str">
        <f t="shared" si="6"/>
        <v>Interpolated value</v>
      </c>
      <c r="Z85" s="106">
        <v>27</v>
      </c>
      <c r="AA85" s="103" t="s">
        <v>394</v>
      </c>
      <c r="AB85" s="103" t="s">
        <v>136</v>
      </c>
      <c r="AC85" s="111">
        <v>2762.8420208404168</v>
      </c>
      <c r="AD85" s="111">
        <v>1041.2419008380168</v>
      </c>
      <c r="AE85" s="111">
        <v>512.00952619052384</v>
      </c>
      <c r="AF85" s="111">
        <v>278.26526530530617</v>
      </c>
      <c r="AG85" t="s">
        <v>155</v>
      </c>
    </row>
    <row r="86" spans="2:33" ht="15.6">
      <c r="B86" s="106"/>
      <c r="C86" s="103" t="s">
        <v>153</v>
      </c>
      <c r="D86" s="103" t="s">
        <v>136</v>
      </c>
      <c r="E86" s="111" cm="1">
        <f t="array" ref="E86">INDEX(N86:Q86,case_number)</f>
        <v>5109.9347062037868</v>
      </c>
      <c r="F86" s="111" cm="1">
        <f t="array" aca="1" ref="F86" ca="1">INDIRECT(sheet_name&amp;"!gap.k_shell")</f>
        <v>5109.9347062037868</v>
      </c>
      <c r="G86" s="118">
        <f ca="1">(F86-E86)/E86</f>
        <v>0</v>
      </c>
      <c r="H86" t="s">
        <v>154</v>
      </c>
      <c r="I86" s="140"/>
      <c r="K86" s="106"/>
      <c r="L86" s="103" t="s">
        <v>153</v>
      </c>
      <c r="M86" s="103" t="s">
        <v>136</v>
      </c>
      <c r="N86" s="111">
        <v>5109.9347062037868</v>
      </c>
      <c r="O86" s="111">
        <v>2205.3060735850058</v>
      </c>
      <c r="P86" s="111">
        <v>1237.2237731143939</v>
      </c>
      <c r="Q86" s="111">
        <v>800.98702799963189</v>
      </c>
      <c r="R86" t="str">
        <f t="shared" si="6"/>
        <v>Simplified formula</v>
      </c>
      <c r="Z86" s="106"/>
      <c r="AA86" s="103" t="s">
        <v>394</v>
      </c>
      <c r="AB86" s="103" t="s">
        <v>136</v>
      </c>
      <c r="AC86" s="111">
        <v>2873.9789957155294</v>
      </c>
      <c r="AD86" s="111">
        <v>1117.5739946902522</v>
      </c>
      <c r="AE86" s="111">
        <v>609.55648707118451</v>
      </c>
      <c r="AF86" s="111">
        <v>386.82104021159915</v>
      </c>
      <c r="AG86" t="s">
        <v>154</v>
      </c>
    </row>
    <row r="87" spans="2:33" ht="15.6">
      <c r="B87" s="106"/>
      <c r="C87" s="103" t="s">
        <v>153</v>
      </c>
      <c r="D87" s="103" t="s">
        <v>136</v>
      </c>
      <c r="E87" s="111" cm="1">
        <f t="array" ref="E87">INDEX(N87:Q87,case_number)</f>
        <v>5109.9347062037868</v>
      </c>
      <c r="F87" s="111" cm="1">
        <f t="array" aca="1" ref="F87" ca="1">INDIRECT(sheet_name&amp;"!gap.k_shell")</f>
        <v>5109.9347062037868</v>
      </c>
      <c r="G87" s="118">
        <f ca="1">(F87-E87)/E87</f>
        <v>0</v>
      </c>
      <c r="H87" t="s">
        <v>152</v>
      </c>
      <c r="I87" s="140"/>
      <c r="K87" s="106"/>
      <c r="L87" s="103" t="s">
        <v>153</v>
      </c>
      <c r="M87" s="103" t="s">
        <v>136</v>
      </c>
      <c r="N87" s="111">
        <v>5109.9347062037868</v>
      </c>
      <c r="O87" s="111">
        <v>2205.3060735850058</v>
      </c>
      <c r="P87" s="111">
        <v>1237.2237731143939</v>
      </c>
      <c r="Q87" s="111">
        <v>800.98702799963189</v>
      </c>
      <c r="R87" t="str">
        <f t="shared" si="6"/>
        <v>Value used</v>
      </c>
      <c r="Z87" s="106"/>
      <c r="AA87" s="103" t="s">
        <v>394</v>
      </c>
      <c r="AB87" s="103" t="s">
        <v>136</v>
      </c>
      <c r="AC87" s="111">
        <v>2873.9789957155294</v>
      </c>
      <c r="AD87" s="111">
        <v>1117.5739946902522</v>
      </c>
      <c r="AE87" s="111">
        <v>609.55648707118451</v>
      </c>
      <c r="AF87" s="111">
        <v>386.82104021159915</v>
      </c>
      <c r="AG87" t="s">
        <v>152</v>
      </c>
    </row>
    <row r="88" spans="2:33" ht="15.6">
      <c r="B88" s="106">
        <f>B85+1</f>
        <v>28</v>
      </c>
      <c r="C88" s="103" t="s">
        <v>151</v>
      </c>
      <c r="D88" s="103" t="s">
        <v>124</v>
      </c>
      <c r="E88" s="109" cm="1">
        <f t="array" ref="E88">INDEX(N88:Q88,case_number)</f>
        <v>1.8</v>
      </c>
      <c r="F88" s="109" cm="1">
        <f t="array" aca="1" ref="F88" ca="1">INDIRECT(sheet_name&amp;"!gap.k_fac")</f>
        <v>1.8</v>
      </c>
      <c r="G88" s="118">
        <f ca="1">(F88-E88)/E88</f>
        <v>0</v>
      </c>
      <c r="I88" s="140"/>
      <c r="K88" s="106">
        <f>K85+1</f>
        <v>28</v>
      </c>
      <c r="L88" s="103" t="s">
        <v>151</v>
      </c>
      <c r="M88" s="103" t="s">
        <v>124</v>
      </c>
      <c r="N88" s="109">
        <v>1.8</v>
      </c>
      <c r="O88" s="109">
        <v>2.0853981633974481</v>
      </c>
      <c r="P88" s="109">
        <v>2.4780972450961727</v>
      </c>
      <c r="Q88" s="109">
        <v>2.8707963267948964</v>
      </c>
      <c r="R88" t="str">
        <f t="shared" si="6"/>
        <v/>
      </c>
      <c r="Z88" s="106">
        <v>28</v>
      </c>
      <c r="AA88" s="103" t="s">
        <v>395</v>
      </c>
      <c r="AB88" s="103" t="s">
        <v>124</v>
      </c>
      <c r="AC88" s="109">
        <v>1.8202477434344697</v>
      </c>
      <c r="AD88" s="109">
        <v>2.3404954868689396</v>
      </c>
      <c r="AE88" s="109">
        <v>2.8607432303034095</v>
      </c>
      <c r="AF88" s="109">
        <v>3.3809909737378794</v>
      </c>
      <c r="AG88" t="s">
        <v>347</v>
      </c>
    </row>
    <row r="89" spans="2:33" ht="15.6">
      <c r="B89" s="106">
        <f>B88+1</f>
        <v>29</v>
      </c>
      <c r="C89" s="103" t="s">
        <v>148</v>
      </c>
      <c r="D89" s="103" t="s">
        <v>136</v>
      </c>
      <c r="E89" s="107" cm="1">
        <f t="array" ref="E89">INDEX(N89:Q89,case_number)</f>
        <v>1420.1267061173537</v>
      </c>
      <c r="F89" s="107" cm="1">
        <f t="array" aca="1" ref="F89" ca="1">INDIRECT(sheet_name&amp;"!gap.k_fl")</f>
        <v>1420.1284185380368</v>
      </c>
      <c r="G89" s="118">
        <f ca="1">(F89-E89)/E89</f>
        <v>1.2058224634165382E-6</v>
      </c>
      <c r="I89" s="140"/>
      <c r="K89" s="106">
        <f>K88+1</f>
        <v>29</v>
      </c>
      <c r="L89" s="103" t="s">
        <v>148</v>
      </c>
      <c r="M89" s="103" t="s">
        <v>136</v>
      </c>
      <c r="N89" s="107">
        <v>1420.1267061173537</v>
      </c>
      <c r="O89" s="107">
        <v>95.752198009831758</v>
      </c>
      <c r="P89" s="107">
        <v>19.194112486621197</v>
      </c>
      <c r="Q89" s="107">
        <v>6.104779188271074</v>
      </c>
      <c r="R89" t="str">
        <f t="shared" si="6"/>
        <v/>
      </c>
      <c r="Z89" s="106">
        <v>29</v>
      </c>
      <c r="AA89" s="103" t="s">
        <v>396</v>
      </c>
      <c r="AB89" s="103" t="s">
        <v>136</v>
      </c>
      <c r="AC89" s="107">
        <v>1430.9035779226776</v>
      </c>
      <c r="AD89" s="107">
        <v>96.742110644514142</v>
      </c>
      <c r="AE89" s="107">
        <v>19.403281333533013</v>
      </c>
      <c r="AF89" s="107">
        <v>6.1725262613190992</v>
      </c>
      <c r="AG89" t="s">
        <v>347</v>
      </c>
    </row>
    <row r="90" spans="2:33" ht="15.6">
      <c r="B90" s="106">
        <f>B89+1</f>
        <v>30</v>
      </c>
      <c r="C90" s="105" t="s">
        <v>147</v>
      </c>
      <c r="D90" s="103" t="s">
        <v>129</v>
      </c>
      <c r="E90" s="110" cm="1">
        <f t="array" ref="E90">INDEX(N90:Q90,case_number)</f>
        <v>550.90080499035628</v>
      </c>
      <c r="F90" s="110" t="s">
        <v>87</v>
      </c>
      <c r="G90" s="104"/>
      <c r="H90" t="s">
        <v>309</v>
      </c>
      <c r="I90" s="141"/>
      <c r="K90" s="106">
        <f>K89+1</f>
        <v>30</v>
      </c>
      <c r="L90" s="105" t="s">
        <v>147</v>
      </c>
      <c r="M90" s="103" t="s">
        <v>129</v>
      </c>
      <c r="N90" s="107">
        <v>550.90080499035628</v>
      </c>
      <c r="O90" s="107">
        <v>572.58710847833606</v>
      </c>
      <c r="P90" s="107">
        <v>577.99584146472671</v>
      </c>
      <c r="Q90" s="107">
        <v>579.568707746938</v>
      </c>
      <c r="R90" t="str">
        <f t="shared" si="6"/>
        <v>(valid in case T-Flange is calculated)</v>
      </c>
      <c r="Z90" s="106">
        <v>30</v>
      </c>
      <c r="AA90" s="105" t="s">
        <v>397</v>
      </c>
      <c r="AB90" s="103" t="s">
        <v>129</v>
      </c>
      <c r="AC90" s="107">
        <v>97.911398460104465</v>
      </c>
      <c r="AD90" s="107">
        <v>108.16711898645032</v>
      </c>
      <c r="AE90" s="107">
        <v>110.332215339211</v>
      </c>
      <c r="AF90" s="107">
        <v>111.22700155817159</v>
      </c>
      <c r="AG90" t="s">
        <v>309</v>
      </c>
    </row>
    <row r="91" spans="2:33" ht="15.6">
      <c r="B91" s="106">
        <f>B90+1</f>
        <v>31</v>
      </c>
      <c r="C91" s="103" t="s">
        <v>143</v>
      </c>
      <c r="D91" s="103" t="s">
        <v>129</v>
      </c>
      <c r="E91" s="110" cm="1">
        <f t="array" ref="E91">INDEX(N91:Q91,case_number)</f>
        <v>426.11545542928133</v>
      </c>
      <c r="F91" s="110" t="s">
        <v>87</v>
      </c>
      <c r="G91" s="104"/>
      <c r="H91" t="s">
        <v>309</v>
      </c>
      <c r="I91" s="140"/>
      <c r="K91" s="106">
        <f>K90+1</f>
        <v>31</v>
      </c>
      <c r="L91" s="103" t="s">
        <v>143</v>
      </c>
      <c r="M91" s="103" t="s">
        <v>129</v>
      </c>
      <c r="N91" s="107">
        <v>426.11545542928133</v>
      </c>
      <c r="O91" s="107">
        <v>329.67533542437053</v>
      </c>
      <c r="P91" s="107">
        <v>305.62241840367358</v>
      </c>
      <c r="Q91" s="107">
        <v>298.62780020642253</v>
      </c>
      <c r="R91" t="str">
        <f t="shared" si="6"/>
        <v>(valid in case T-Flange is calculated)</v>
      </c>
      <c r="Z91" s="106">
        <v>31</v>
      </c>
      <c r="AA91" s="103" t="s">
        <v>398</v>
      </c>
      <c r="AB91" s="103" t="s">
        <v>129</v>
      </c>
      <c r="AC91" s="107">
        <v>148.09719855410455</v>
      </c>
      <c r="AD91" s="107">
        <v>78.871085001270089</v>
      </c>
      <c r="AE91" s="107">
        <v>64.256684620135459</v>
      </c>
      <c r="AF91" s="107">
        <v>58.216877642151466</v>
      </c>
      <c r="AG91" t="s">
        <v>309</v>
      </c>
    </row>
    <row r="92" spans="2:33" ht="15.6">
      <c r="B92" s="106"/>
      <c r="C92" s="105" t="s">
        <v>142</v>
      </c>
      <c r="D92" s="103" t="s">
        <v>129</v>
      </c>
      <c r="E92" s="110" cm="1">
        <f t="array" ref="E92">INDEX(N92:Q92,case_number)</f>
        <v>0</v>
      </c>
      <c r="F92" s="110" cm="1">
        <f t="array" aca="1" ref="F92" ca="1">INDIRECT(sheet_name&amp;"!DZ_gap_inclination")</f>
        <v>0</v>
      </c>
      <c r="G92" s="118">
        <f ca="1">IF(AND(E92=0,F92=0), 0, (F92-E92)/E92)</f>
        <v>0</v>
      </c>
      <c r="H92" t="str">
        <f>"Inclination used: "&amp;E92&amp;"deg"</f>
        <v>Inclination used: 0deg</v>
      </c>
      <c r="I92" s="141"/>
      <c r="K92" s="106"/>
      <c r="L92" s="105" t="s">
        <v>142</v>
      </c>
      <c r="M92" s="103" t="s">
        <v>129</v>
      </c>
      <c r="N92" s="108">
        <v>0</v>
      </c>
      <c r="O92" s="108">
        <v>0</v>
      </c>
      <c r="P92" s="108">
        <v>0</v>
      </c>
      <c r="Q92" s="108">
        <v>0</v>
      </c>
      <c r="R92" t="str">
        <f t="shared" si="6"/>
        <v>Inclination used: 0deg</v>
      </c>
      <c r="Z92" s="106"/>
      <c r="AA92" s="105" t="s">
        <v>399</v>
      </c>
      <c r="AB92" s="103" t="s">
        <v>129</v>
      </c>
      <c r="AC92" s="108">
        <v>0</v>
      </c>
      <c r="AD92" s="108">
        <v>0</v>
      </c>
      <c r="AE92" s="108">
        <v>0</v>
      </c>
      <c r="AF92" s="108">
        <v>0</v>
      </c>
      <c r="AG92" t="s">
        <v>400</v>
      </c>
    </row>
    <row r="93" spans="2:33" ht="15.6">
      <c r="B93" s="106">
        <f>B91+1</f>
        <v>32</v>
      </c>
      <c r="C93" s="105" t="s">
        <v>141</v>
      </c>
      <c r="D93" s="103" t="s">
        <v>129</v>
      </c>
      <c r="E93" s="107" cm="1">
        <f t="array" ref="E93">INDEX(N93:Q93,case_number)</f>
        <v>1221.3620300054099</v>
      </c>
      <c r="F93" s="107" cm="1">
        <f t="array" aca="1" ref="F93" ca="1">-INDIRECT(sheet_name&amp;"!DZ_gap_tot")</f>
        <v>1221.362350291158</v>
      </c>
      <c r="G93" s="107"/>
      <c r="I93" s="141"/>
      <c r="K93" s="106">
        <f>K91+1</f>
        <v>32</v>
      </c>
      <c r="L93" s="105" t="s">
        <v>141</v>
      </c>
      <c r="M93" s="103" t="s">
        <v>129</v>
      </c>
      <c r="N93" s="107">
        <v>1221.3620300054099</v>
      </c>
      <c r="O93" s="107">
        <v>802.68684894274077</v>
      </c>
      <c r="P93" s="107">
        <v>711.5482385942081</v>
      </c>
      <c r="Q93" s="107">
        <v>681.5727326421669</v>
      </c>
      <c r="R93" t="str">
        <f t="shared" si="6"/>
        <v/>
      </c>
      <c r="Z93" s="106">
        <v>32</v>
      </c>
      <c r="AA93" s="105" t="s">
        <v>401</v>
      </c>
      <c r="AB93" s="103" t="s">
        <v>129</v>
      </c>
      <c r="AC93" s="107">
        <v>367.16422952629608</v>
      </c>
      <c r="AD93" s="107">
        <v>179.72823837335213</v>
      </c>
      <c r="AE93" s="107">
        <v>143.98598165084377</v>
      </c>
      <c r="AF93" s="107">
        <v>129.56103491512195</v>
      </c>
      <c r="AG93" t="s">
        <v>347</v>
      </c>
    </row>
    <row r="94" spans="2:33" ht="15.6">
      <c r="B94" s="106">
        <f>B93+1</f>
        <v>33</v>
      </c>
      <c r="C94" s="103" t="s">
        <v>140</v>
      </c>
      <c r="D94" s="103" t="s">
        <v>129</v>
      </c>
      <c r="E94" s="107" cm="1">
        <f t="array" ref="E94">INDEX(N94:Q94,case_number)</f>
        <v>3595</v>
      </c>
      <c r="F94" s="107" t="s">
        <v>87</v>
      </c>
      <c r="G94" s="118"/>
      <c r="I94" s="140"/>
      <c r="K94" s="106">
        <f>K93+1</f>
        <v>33</v>
      </c>
      <c r="L94" s="103" t="s">
        <v>140</v>
      </c>
      <c r="M94" s="103" t="s">
        <v>129</v>
      </c>
      <c r="N94" s="107">
        <v>3595</v>
      </c>
      <c r="O94" s="107">
        <v>3595</v>
      </c>
      <c r="P94" s="107">
        <v>3595</v>
      </c>
      <c r="Q94" s="107">
        <v>3595</v>
      </c>
      <c r="R94" t="str">
        <f t="shared" si="6"/>
        <v/>
      </c>
      <c r="Z94" s="106">
        <v>33</v>
      </c>
      <c r="AA94" s="103" t="s">
        <v>402</v>
      </c>
      <c r="AB94" s="103" t="s">
        <v>129</v>
      </c>
      <c r="AC94" s="107">
        <v>1103.1006982045617</v>
      </c>
      <c r="AD94" s="107">
        <v>1103.1006982045617</v>
      </c>
      <c r="AE94" s="107">
        <v>1103.1006982045617</v>
      </c>
      <c r="AF94" s="107">
        <v>1103.1006982045617</v>
      </c>
      <c r="AG94" t="s">
        <v>347</v>
      </c>
    </row>
    <row r="95" spans="2:33" ht="15.6">
      <c r="B95" s="106">
        <f>B94+1</f>
        <v>34</v>
      </c>
      <c r="C95" s="103" t="s">
        <v>139</v>
      </c>
      <c r="D95" s="103" t="s">
        <v>129</v>
      </c>
      <c r="E95" s="108" cm="1">
        <f t="array" ref="E95">INDEX(N95:Q95,case_number)</f>
        <v>2068.2520235998149</v>
      </c>
      <c r="F95" s="108" cm="1">
        <f t="array" aca="1" ref="F95" ca="1">INDIRECT(sheet_name&amp;"!Z0")</f>
        <v>2068.2520235998149</v>
      </c>
      <c r="G95" s="118">
        <f ca="1">(F95-E95)/E95</f>
        <v>0</v>
      </c>
      <c r="H95" t="s">
        <v>310</v>
      </c>
      <c r="I95" s="140"/>
      <c r="K95" s="106">
        <f>K94+1</f>
        <v>34</v>
      </c>
      <c r="L95" s="103" t="s">
        <v>139</v>
      </c>
      <c r="M95" s="103" t="s">
        <v>129</v>
      </c>
      <c r="N95" s="107">
        <v>2068.2520235998149</v>
      </c>
      <c r="O95" s="107">
        <v>2068.2520235998149</v>
      </c>
      <c r="P95" s="107">
        <v>2068.2520235998149</v>
      </c>
      <c r="Q95" s="107">
        <v>2068.2520235998149</v>
      </c>
      <c r="R95" t="str">
        <f t="shared" si="6"/>
        <v>(valid in case L-Flange is calculated)</v>
      </c>
      <c r="Z95" s="106">
        <v>34</v>
      </c>
      <c r="AA95" s="103" t="s">
        <v>403</v>
      </c>
      <c r="AB95" s="103" t="s">
        <v>129</v>
      </c>
      <c r="AC95" s="107">
        <v>717.20546202762773</v>
      </c>
      <c r="AD95" s="107">
        <v>717.20546202762773</v>
      </c>
      <c r="AE95" s="107">
        <v>717.20546202762773</v>
      </c>
      <c r="AF95" s="107">
        <v>717.20546202762773</v>
      </c>
      <c r="AG95" t="s">
        <v>310</v>
      </c>
    </row>
    <row r="96" spans="2:33" ht="15.6">
      <c r="B96" s="106">
        <f>B95+1</f>
        <v>35</v>
      </c>
      <c r="C96" s="103" t="s">
        <v>139</v>
      </c>
      <c r="D96" s="103" t="s">
        <v>129</v>
      </c>
      <c r="E96" s="110" cm="1">
        <f t="array" ref="E96">INDEX(N96:Q96,case_number)</f>
        <v>2068.2520235998149</v>
      </c>
      <c r="F96" s="110" t="s">
        <v>87</v>
      </c>
      <c r="G96" s="104"/>
      <c r="H96" t="s">
        <v>309</v>
      </c>
      <c r="I96" s="140"/>
      <c r="K96" s="106">
        <f>K95+1</f>
        <v>35</v>
      </c>
      <c r="L96" s="103" t="s">
        <v>139</v>
      </c>
      <c r="M96" s="103" t="s">
        <v>129</v>
      </c>
      <c r="N96" s="108">
        <v>2068.2520235998149</v>
      </c>
      <c r="O96" s="108">
        <v>2068.2520235998149</v>
      </c>
      <c r="P96" s="108">
        <v>2068.2520235998149</v>
      </c>
      <c r="Q96" s="108">
        <v>2068.2520235998149</v>
      </c>
      <c r="R96" t="str">
        <f t="shared" si="6"/>
        <v>(valid in case T-Flange is calculated)</v>
      </c>
      <c r="Z96" s="106">
        <v>35</v>
      </c>
      <c r="AA96" s="103" t="s">
        <v>403</v>
      </c>
      <c r="AB96" s="103" t="s">
        <v>129</v>
      </c>
      <c r="AC96" s="108">
        <v>717.20546202762773</v>
      </c>
      <c r="AD96" s="108">
        <v>717.20546202762773</v>
      </c>
      <c r="AE96" s="108">
        <v>717.20546202762773</v>
      </c>
      <c r="AF96" s="108">
        <v>717.20546202762773</v>
      </c>
      <c r="AG96" t="s">
        <v>309</v>
      </c>
    </row>
    <row r="97" spans="2:33" ht="15.6">
      <c r="B97" s="106">
        <f>B96+1</f>
        <v>36</v>
      </c>
      <c r="C97" s="105" t="s">
        <v>138</v>
      </c>
      <c r="D97" s="103" t="s">
        <v>124</v>
      </c>
      <c r="E97" s="109" cm="1">
        <f t="array" ref="E97">INDEX(N97:Q97,case_number)</f>
        <v>2.3686419505455167</v>
      </c>
      <c r="F97" s="109" cm="1">
        <f t="array" aca="1" ref="F97" ca="1">INDIRECT(sheet_name&amp;"!stiffness_correction_factor")</f>
        <v>2.3686912204523787</v>
      </c>
      <c r="G97" s="118">
        <f ca="1">(F97-E97)/E97</f>
        <v>2.080090950453279E-5</v>
      </c>
      <c r="I97" s="141"/>
      <c r="K97" s="106">
        <f>K96+1</f>
        <v>36</v>
      </c>
      <c r="L97" s="105" t="s">
        <v>138</v>
      </c>
      <c r="M97" s="103" t="s">
        <v>124</v>
      </c>
      <c r="N97" s="109">
        <v>2.3686419505455167</v>
      </c>
      <c r="O97" s="109">
        <v>1.3420699686162645</v>
      </c>
      <c r="P97" s="109">
        <v>1.1763732220609038</v>
      </c>
      <c r="Q97" s="109">
        <v>1.1112918625647985</v>
      </c>
      <c r="R97" t="str">
        <f t="shared" si="6"/>
        <v/>
      </c>
      <c r="Z97" s="106">
        <v>36</v>
      </c>
      <c r="AA97" s="105" t="s">
        <v>404</v>
      </c>
      <c r="AB97" s="103" t="s">
        <v>124</v>
      </c>
      <c r="AC97" s="109">
        <v>1.6140700265708123</v>
      </c>
      <c r="AD97" s="109">
        <v>1.1180091772580059</v>
      </c>
      <c r="AE97" s="109">
        <v>1.0577935599521713</v>
      </c>
      <c r="AF97" s="109">
        <v>1.0353432238786298</v>
      </c>
      <c r="AG97" t="s">
        <v>347</v>
      </c>
    </row>
    <row r="98" spans="2:33">
      <c r="B98" s="106"/>
      <c r="C98" s="105" t="s">
        <v>274</v>
      </c>
      <c r="D98" s="103" t="s">
        <v>127</v>
      </c>
      <c r="E98" s="107" cm="1">
        <f t="array" ref="E98">INDEX(N98:Q98,case_number)</f>
        <v>194.0980661142894</v>
      </c>
      <c r="F98" s="107" t="s">
        <v>87</v>
      </c>
      <c r="G98" s="118"/>
      <c r="I98" s="141"/>
      <c r="K98" s="106"/>
      <c r="L98" s="105" t="s">
        <v>274</v>
      </c>
      <c r="M98" s="103" t="s">
        <v>127</v>
      </c>
      <c r="N98" s="107">
        <v>194.0980661142894</v>
      </c>
      <c r="O98" s="107">
        <v>194.0980661142894</v>
      </c>
      <c r="P98" s="107">
        <v>194.0980661142894</v>
      </c>
      <c r="Q98" s="107">
        <v>194.0980661142894</v>
      </c>
      <c r="R98" t="str">
        <f t="shared" si="6"/>
        <v/>
      </c>
      <c r="Z98" s="106"/>
      <c r="AA98" s="105" t="s">
        <v>274</v>
      </c>
      <c r="AB98" s="103" t="s">
        <v>127</v>
      </c>
      <c r="AC98" s="107">
        <v>99.70193352017607</v>
      </c>
      <c r="AD98" s="107">
        <v>99.70193352017607</v>
      </c>
      <c r="AE98" s="107">
        <v>99.70193352017607</v>
      </c>
      <c r="AF98" s="107">
        <v>99.70193352017607</v>
      </c>
      <c r="AG98" t="s">
        <v>347</v>
      </c>
    </row>
    <row r="99" spans="2:33" ht="15.6">
      <c r="B99" s="106">
        <f>B97+1</f>
        <v>37</v>
      </c>
      <c r="C99" s="103" t="s">
        <v>137</v>
      </c>
      <c r="D99" s="103" t="s">
        <v>136</v>
      </c>
      <c r="E99" s="107" cm="1">
        <f t="array" ref="E99">INDEX(N99:Q99,case_number)</f>
        <v>10496.635077845174</v>
      </c>
      <c r="F99" s="107" cm="1">
        <f t="array" aca="1" ref="F99" ca="1">INDIRECT(sheet_name&amp;"!k_seg")</f>
        <v>10496.259974315995</v>
      </c>
      <c r="G99" s="118">
        <f ca="1">(F99-E99)/E99</f>
        <v>-3.5735597779387665E-5</v>
      </c>
      <c r="I99" s="140"/>
      <c r="K99" s="106">
        <f>K97+1</f>
        <v>37</v>
      </c>
      <c r="L99" s="103" t="s">
        <v>137</v>
      </c>
      <c r="M99" s="103" t="s">
        <v>136</v>
      </c>
      <c r="N99" s="107">
        <v>10496.635077845174</v>
      </c>
      <c r="O99" s="107">
        <v>14799.101534655869</v>
      </c>
      <c r="P99" s="107">
        <v>15671.989863448487</v>
      </c>
      <c r="Q99" s="107">
        <v>15954.463649842879</v>
      </c>
      <c r="R99" t="str">
        <f t="shared" si="6"/>
        <v/>
      </c>
      <c r="Z99" s="106">
        <v>37</v>
      </c>
      <c r="AA99" s="103" t="s">
        <v>405</v>
      </c>
      <c r="AB99" s="103" t="s">
        <v>136</v>
      </c>
      <c r="AC99" s="107">
        <v>15422.901708608186</v>
      </c>
      <c r="AD99" s="107">
        <v>22638.031158337315</v>
      </c>
      <c r="AE99" s="107">
        <v>23942.312805016805</v>
      </c>
      <c r="AF99" s="107">
        <v>24462.563155230189</v>
      </c>
      <c r="AG99" t="s">
        <v>347</v>
      </c>
    </row>
    <row r="100" spans="2:33" ht="15.6">
      <c r="B100" s="106">
        <f>B99+1</f>
        <v>38</v>
      </c>
      <c r="C100" s="103" t="s">
        <v>135</v>
      </c>
      <c r="D100" s="103" t="s">
        <v>129</v>
      </c>
      <c r="E100" s="111" cm="1">
        <f t="array" ref="E100">INDEX(N100:Q100,case_number)</f>
        <v>846.88999359440504</v>
      </c>
      <c r="F100" s="111" cm="1">
        <f t="array" aca="1" ref="F100" ca="1">ROUND(INDIRECT(sheet_name&amp;"!Z_2_td"),0)</f>
        <v>847</v>
      </c>
      <c r="G100" s="118">
        <f ca="1">(F100-E100)/E100</f>
        <v>1.298945629621447E-4</v>
      </c>
      <c r="I100" s="140"/>
      <c r="K100" s="106">
        <f>K99+1</f>
        <v>38</v>
      </c>
      <c r="L100" s="103" t="s">
        <v>135</v>
      </c>
      <c r="M100" s="103" t="s">
        <v>129</v>
      </c>
      <c r="N100" s="111">
        <v>846.88999359440504</v>
      </c>
      <c r="O100" s="111">
        <v>1265.5651746570743</v>
      </c>
      <c r="P100" s="111">
        <v>1356.7037850056067</v>
      </c>
      <c r="Q100" s="111">
        <v>1386.6792909576479</v>
      </c>
      <c r="R100" t="str">
        <f t="shared" si="6"/>
        <v/>
      </c>
      <c r="Z100" s="106">
        <v>38</v>
      </c>
      <c r="AA100" s="103" t="s">
        <v>406</v>
      </c>
      <c r="AB100" s="103" t="s">
        <v>129</v>
      </c>
      <c r="AC100" s="111">
        <v>350.04123250133165</v>
      </c>
      <c r="AD100" s="111">
        <v>537.47722365427558</v>
      </c>
      <c r="AE100" s="111">
        <v>573.21948037678396</v>
      </c>
      <c r="AF100" s="111">
        <v>587.64442711250581</v>
      </c>
      <c r="AG100" t="s">
        <v>347</v>
      </c>
    </row>
    <row r="101" spans="2:33">
      <c r="B101" s="106">
        <f>B100+1</f>
        <v>39</v>
      </c>
      <c r="C101" s="103" t="s">
        <v>1</v>
      </c>
      <c r="D101" s="103" t="s">
        <v>127</v>
      </c>
      <c r="E101" s="109" cm="1">
        <f t="array" ref="E101">INDEX(N101:Q101,case_number)</f>
        <v>0.41567671207598361</v>
      </c>
      <c r="F101" s="109" cm="1">
        <f t="array" aca="1" ref="F101" ca="1">INDIRECT(sheet_name&amp;"!u")</f>
        <v>0.41569140985202385</v>
      </c>
      <c r="G101" s="118">
        <f ca="1">(F101-E101)/E101</f>
        <v>3.5358670845032447E-5</v>
      </c>
      <c r="H101" t="s">
        <v>310</v>
      </c>
      <c r="I101" s="140"/>
      <c r="K101" s="106">
        <f>K100+1</f>
        <v>39</v>
      </c>
      <c r="L101" s="103" t="s">
        <v>1</v>
      </c>
      <c r="M101" s="103" t="s">
        <v>127</v>
      </c>
      <c r="N101" s="109">
        <v>0.41567671207598361</v>
      </c>
      <c r="O101" s="109">
        <v>0.4405832248256456</v>
      </c>
      <c r="P101" s="109">
        <v>0.44600495762306314</v>
      </c>
      <c r="Q101" s="109">
        <v>0.44778816655194476</v>
      </c>
      <c r="R101" t="str">
        <f t="shared" si="6"/>
        <v>(valid in case L-Flange is calculated)</v>
      </c>
      <c r="Z101" s="106">
        <v>39</v>
      </c>
      <c r="AA101" s="103" t="s">
        <v>1</v>
      </c>
      <c r="AB101" s="103" t="s">
        <v>127</v>
      </c>
      <c r="AC101" s="109">
        <v>0.22764050105793851</v>
      </c>
      <c r="AD101" s="109">
        <v>0.23813203928485391</v>
      </c>
      <c r="AE101" s="109">
        <v>0.2401326756109608</v>
      </c>
      <c r="AF101" s="109">
        <v>0.24094009727618171</v>
      </c>
      <c r="AG101" t="s">
        <v>347</v>
      </c>
    </row>
    <row r="102" spans="2:33">
      <c r="B102" s="106">
        <f>B101+1</f>
        <v>40</v>
      </c>
      <c r="C102" s="103" t="s">
        <v>1</v>
      </c>
      <c r="D102" s="103" t="s">
        <v>127</v>
      </c>
      <c r="E102" s="110" cm="1">
        <f t="array" ref="E102">INDEX(N102:Q102,case_number)</f>
        <v>0.41567671207598361</v>
      </c>
      <c r="F102" s="104"/>
      <c r="G102" s="104"/>
      <c r="H102" t="s">
        <v>309</v>
      </c>
      <c r="I102" s="140"/>
      <c r="K102" s="106">
        <f>K101+1</f>
        <v>40</v>
      </c>
      <c r="L102" s="103" t="s">
        <v>1</v>
      </c>
      <c r="M102" s="103" t="s">
        <v>127</v>
      </c>
      <c r="N102" s="109">
        <v>0.41567671207598361</v>
      </c>
      <c r="O102" s="109">
        <v>0.4405832248256456</v>
      </c>
      <c r="P102" s="109">
        <v>0.44600495762306314</v>
      </c>
      <c r="Q102" s="109">
        <v>0.44778816655194476</v>
      </c>
      <c r="R102" t="str">
        <f t="shared" si="6"/>
        <v>(valid in case T-Flange is calculated)</v>
      </c>
      <c r="Z102" s="106">
        <v>40</v>
      </c>
      <c r="AA102" s="103" t="s">
        <v>1</v>
      </c>
      <c r="AB102" s="103" t="s">
        <v>127</v>
      </c>
      <c r="AC102" s="109">
        <v>0.22764050105793851</v>
      </c>
      <c r="AD102" s="109">
        <v>0.23813203928485391</v>
      </c>
      <c r="AE102" s="109">
        <v>0.2401326756109608</v>
      </c>
      <c r="AF102" s="109">
        <v>0.24094009727618171</v>
      </c>
      <c r="AG102" t="s">
        <v>309</v>
      </c>
    </row>
    <row r="103" spans="2:33" ht="15.6">
      <c r="B103" s="106"/>
      <c r="C103" s="103" t="s">
        <v>134</v>
      </c>
      <c r="D103" s="103" t="s">
        <v>129</v>
      </c>
      <c r="E103" s="110" cm="1">
        <f t="array" ref="E103">INDEX(N103:Q103,case_number)</f>
        <v>14795</v>
      </c>
      <c r="F103" s="110" t="s">
        <v>87</v>
      </c>
      <c r="G103" s="110"/>
      <c r="I103" s="140"/>
      <c r="K103" s="106"/>
      <c r="L103" s="103" t="s">
        <v>134</v>
      </c>
      <c r="M103" s="103" t="s">
        <v>129</v>
      </c>
      <c r="N103" s="110">
        <v>14795</v>
      </c>
      <c r="O103" s="110">
        <v>14795</v>
      </c>
      <c r="P103" s="110">
        <v>14795</v>
      </c>
      <c r="Q103" s="110">
        <v>14795</v>
      </c>
      <c r="R103" t="str">
        <f t="shared" si="6"/>
        <v/>
      </c>
      <c r="Z103" s="106"/>
      <c r="AA103" s="103" t="s">
        <v>407</v>
      </c>
      <c r="AB103" s="103" t="s">
        <v>129</v>
      </c>
      <c r="AC103" s="110">
        <v>4340</v>
      </c>
      <c r="AD103" s="110">
        <v>4340</v>
      </c>
      <c r="AE103" s="110">
        <v>4340</v>
      </c>
      <c r="AF103" s="110">
        <v>4340</v>
      </c>
      <c r="AG103" t="s">
        <v>347</v>
      </c>
    </row>
    <row r="104" spans="2:33" ht="15.6">
      <c r="B104" s="106">
        <f>B102+1</f>
        <v>41</v>
      </c>
      <c r="C104" s="105" t="s">
        <v>133</v>
      </c>
      <c r="D104" s="103" t="s">
        <v>129</v>
      </c>
      <c r="E104" s="107" cm="1">
        <f t="array" ref="E104">INDEX(N104:Q104,case_number)</f>
        <v>-123.29166666666667</v>
      </c>
      <c r="F104" s="107" cm="1">
        <f t="array" aca="1" ref="F104" ca="1">INDIRECT(sheet_name&amp;"!Z_dw")</f>
        <v>-123.29166666666667</v>
      </c>
      <c r="G104" s="118">
        <f ca="1">(F104-E104)/E104</f>
        <v>0</v>
      </c>
      <c r="I104" s="141"/>
      <c r="K104" s="106">
        <f>K102+1</f>
        <v>41</v>
      </c>
      <c r="L104" s="105" t="s">
        <v>133</v>
      </c>
      <c r="M104" s="103" t="s">
        <v>129</v>
      </c>
      <c r="N104" s="107">
        <v>-123.29166666666667</v>
      </c>
      <c r="O104" s="107">
        <v>-123.29166666666667</v>
      </c>
      <c r="P104" s="107">
        <v>-123.29166666666667</v>
      </c>
      <c r="Q104" s="107">
        <v>-123.29166666666667</v>
      </c>
      <c r="R104" t="str">
        <f t="shared" si="6"/>
        <v/>
      </c>
      <c r="Z104" s="106">
        <v>41</v>
      </c>
      <c r="AA104" s="105" t="s">
        <v>408</v>
      </c>
      <c r="AB104" s="103" t="s">
        <v>129</v>
      </c>
      <c r="AC104" s="107">
        <v>-30.138888888888889</v>
      </c>
      <c r="AD104" s="107">
        <v>-30.138888888888889</v>
      </c>
      <c r="AE104" s="107">
        <v>-30.138888888888889</v>
      </c>
      <c r="AF104" s="107">
        <v>-30.138888888888889</v>
      </c>
      <c r="AG104" t="s">
        <v>347</v>
      </c>
    </row>
    <row r="105" spans="2:33">
      <c r="B105" s="106">
        <f t="shared" ref="B105:B112" si="8">B104+1</f>
        <v>42</v>
      </c>
      <c r="D105" s="103"/>
      <c r="E105" s="110"/>
      <c r="F105" s="104"/>
      <c r="G105" s="104"/>
      <c r="K105" s="106">
        <f t="shared" ref="K105:K112" si="9">K104+1</f>
        <v>42</v>
      </c>
      <c r="M105" s="103"/>
      <c r="N105" s="104"/>
      <c r="O105" s="104"/>
      <c r="P105" s="104"/>
      <c r="Q105" s="104"/>
      <c r="R105" t="str">
        <f t="shared" si="6"/>
        <v/>
      </c>
      <c r="Z105" s="106">
        <v>42</v>
      </c>
      <c r="AB105" s="103"/>
      <c r="AC105" s="104"/>
      <c r="AD105" s="104"/>
      <c r="AE105" s="104"/>
      <c r="AF105" s="104"/>
      <c r="AG105" t="s">
        <v>347</v>
      </c>
    </row>
    <row r="106" spans="2:33" ht="15.6">
      <c r="B106" s="106">
        <f t="shared" si="8"/>
        <v>43</v>
      </c>
      <c r="C106" s="103" t="s">
        <v>132</v>
      </c>
      <c r="D106" s="103" t="s">
        <v>129</v>
      </c>
      <c r="E106" s="107" cm="1">
        <f t="array" ref="E106">INDEX(N106:Q106,case_number)</f>
        <v>-1344.6536966720766</v>
      </c>
      <c r="F106" s="107" cm="1">
        <f t="array" aca="1" ref="F106" ca="1">INDIRECT(sheet_name&amp;"!point4.Z")</f>
        <v>-1344.6540169578248</v>
      </c>
      <c r="G106" s="118">
        <f ca="1">(F106-E106)/E106</f>
        <v>2.3819199612176568E-7</v>
      </c>
      <c r="I106" s="103"/>
      <c r="K106" s="106">
        <f t="shared" si="9"/>
        <v>43</v>
      </c>
      <c r="L106" s="103" t="s">
        <v>132</v>
      </c>
      <c r="M106" s="103" t="s">
        <v>129</v>
      </c>
      <c r="N106" s="107">
        <v>-1344.6536966720766</v>
      </c>
      <c r="O106" s="107">
        <v>-925.9785156094074</v>
      </c>
      <c r="P106" s="107">
        <v>-834.83990526087473</v>
      </c>
      <c r="Q106" s="107">
        <v>-804.86439930883353</v>
      </c>
      <c r="R106" t="str">
        <f t="shared" si="6"/>
        <v/>
      </c>
      <c r="Z106" s="106">
        <v>43</v>
      </c>
      <c r="AA106" s="103" t="s">
        <v>409</v>
      </c>
      <c r="AB106" s="103" t="s">
        <v>129</v>
      </c>
      <c r="AC106" s="107">
        <v>-397.303118415185</v>
      </c>
      <c r="AD106" s="107">
        <v>-209.86712726224101</v>
      </c>
      <c r="AE106" s="107">
        <v>-174.12487053973265</v>
      </c>
      <c r="AF106" s="107">
        <v>-159.69992380401084</v>
      </c>
      <c r="AG106" t="s">
        <v>347</v>
      </c>
    </row>
    <row r="107" spans="2:33" ht="15.6">
      <c r="B107" s="106">
        <f t="shared" si="8"/>
        <v>44</v>
      </c>
      <c r="C107" s="105" t="s">
        <v>131</v>
      </c>
      <c r="D107" s="103" t="s">
        <v>124</v>
      </c>
      <c r="E107" s="113" cm="1">
        <f t="array" ref="E107">INDEX(N107:Q107,case_number)</f>
        <v>7.5544246542453689E-2</v>
      </c>
      <c r="F107" s="113" cm="1">
        <f t="array" aca="1" ref="F107" ca="1">INDIRECT(sheet_name&amp;"!true_force_initial_slope")</f>
        <v>7.5528578582844563E-2</v>
      </c>
      <c r="G107" s="118">
        <f ca="1">(F107-E107)/E107</f>
        <v>-2.0740109705535707E-4</v>
      </c>
      <c r="I107" s="105"/>
      <c r="K107" s="106">
        <f t="shared" si="9"/>
        <v>44</v>
      </c>
      <c r="L107" s="105" t="s">
        <v>131</v>
      </c>
      <c r="M107" s="103" t="s">
        <v>124</v>
      </c>
      <c r="N107" s="109">
        <v>7.5544246542453689E-2</v>
      </c>
      <c r="O107" s="109">
        <v>2.6484889062886992E-2</v>
      </c>
      <c r="P107" s="109">
        <v>1.2659267531490324E-2</v>
      </c>
      <c r="Q107" s="109">
        <v>6.5776723431558012E-3</v>
      </c>
      <c r="R107" t="str">
        <f t="shared" si="6"/>
        <v/>
      </c>
      <c r="Z107" s="106">
        <v>44</v>
      </c>
      <c r="AA107" s="105" t="s">
        <v>410</v>
      </c>
      <c r="AB107" s="103" t="s">
        <v>124</v>
      </c>
      <c r="AC107" s="109">
        <v>5.1165437741928325E-2</v>
      </c>
      <c r="AD107" s="109">
        <v>5.9453913058859212E-3</v>
      </c>
      <c r="AE107" s="109">
        <v>-4.0508771371605117E-3</v>
      </c>
      <c r="AF107" s="109">
        <v>-8.1587782699442616E-3</v>
      </c>
      <c r="AG107" t="s">
        <v>347</v>
      </c>
    </row>
    <row r="108" spans="2:33" ht="15.6">
      <c r="B108" s="106">
        <f t="shared" si="8"/>
        <v>45</v>
      </c>
      <c r="C108" s="103" t="s">
        <v>130</v>
      </c>
      <c r="D108" s="103" t="s">
        <v>129</v>
      </c>
      <c r="E108" s="108" cm="1">
        <f t="array" ref="E108">INDEX(N108:Q108,case_number)</f>
        <v>2829.8665628438398</v>
      </c>
      <c r="F108" s="108" cm="1">
        <f t="array" aca="1" ref="F108" ca="1">INDIRECT(sheet_name&amp;"!point4.Fs")</f>
        <v>2829.8761188739527</v>
      </c>
      <c r="G108" s="118">
        <f ca="1">(F108-E108)/E108</f>
        <v>3.3768483073939152E-6</v>
      </c>
      <c r="I108" s="103"/>
      <c r="K108" s="106">
        <f t="shared" si="9"/>
        <v>45</v>
      </c>
      <c r="L108" s="103" t="s">
        <v>130</v>
      </c>
      <c r="M108" s="103" t="s">
        <v>129</v>
      </c>
      <c r="N108" s="108">
        <v>2829.8665628438398</v>
      </c>
      <c r="O108" s="108">
        <v>2865.3704639267567</v>
      </c>
      <c r="P108" s="108">
        <v>2871.4961602430376</v>
      </c>
      <c r="Q108" s="108">
        <v>2873.7584189433255</v>
      </c>
      <c r="R108" t="str">
        <f t="shared" si="6"/>
        <v/>
      </c>
      <c r="Z108" s="106">
        <v>45</v>
      </c>
      <c r="AA108" s="103" t="s">
        <v>411</v>
      </c>
      <c r="AB108" s="103" t="s">
        <v>129</v>
      </c>
      <c r="AC108" s="108">
        <v>799.60607889636435</v>
      </c>
      <c r="AD108" s="108">
        <v>808.46486080688624</v>
      </c>
      <c r="AE108" s="108">
        <v>809.29077292038016</v>
      </c>
      <c r="AF108" s="108">
        <v>809.52766803795828</v>
      </c>
      <c r="AG108" t="s">
        <v>347</v>
      </c>
    </row>
    <row r="109" spans="2:33" ht="15.6">
      <c r="B109" s="106">
        <f t="shared" si="8"/>
        <v>46</v>
      </c>
      <c r="C109" s="105" t="s">
        <v>128</v>
      </c>
      <c r="D109" s="103" t="s">
        <v>124</v>
      </c>
      <c r="E109" s="110" cm="1">
        <f t="array" ref="E109">INDEX(N109:Q109,case_number)</f>
        <v>0.12086720128749208</v>
      </c>
      <c r="F109" s="110" cm="1">
        <f t="array" aca="1" ref="F109" ca="1">INDIRECT(sheet_name&amp;"!polynomial_initial_slope")</f>
        <v>0.12086305665036055</v>
      </c>
      <c r="G109" s="104"/>
      <c r="H109" t="s">
        <v>310</v>
      </c>
      <c r="I109" s="105"/>
      <c r="K109" s="106">
        <f t="shared" si="9"/>
        <v>46</v>
      </c>
      <c r="L109" s="105" t="s">
        <v>128</v>
      </c>
      <c r="M109" s="103" t="s">
        <v>124</v>
      </c>
      <c r="N109" s="113">
        <v>0.12086720128749208</v>
      </c>
      <c r="O109" s="113">
        <v>7.9434688944403545E-2</v>
      </c>
      <c r="P109" s="113">
        <v>7.0415521415501711E-2</v>
      </c>
      <c r="Q109" s="113">
        <v>6.7449115532076859E-2</v>
      </c>
      <c r="R109" t="str">
        <f t="shared" si="6"/>
        <v>(valid in case L-Flange is calculated)</v>
      </c>
      <c r="Z109" s="106">
        <v>46</v>
      </c>
      <c r="AA109" s="105" t="s">
        <v>412</v>
      </c>
      <c r="AB109" s="103" t="s">
        <v>124</v>
      </c>
      <c r="AC109" s="113">
        <v>0.11662403043349931</v>
      </c>
      <c r="AD109" s="113">
        <v>5.7087891074944296E-2</v>
      </c>
      <c r="AE109" s="113">
        <v>4.5734916845549152E-2</v>
      </c>
      <c r="AF109" s="113">
        <v>4.1153055945649206E-2</v>
      </c>
      <c r="AG109" t="s">
        <v>310</v>
      </c>
    </row>
    <row r="110" spans="2:33" ht="15.6">
      <c r="B110" s="106">
        <f t="shared" si="8"/>
        <v>47</v>
      </c>
      <c r="C110" s="105" t="s">
        <v>128</v>
      </c>
      <c r="D110" s="103" t="s">
        <v>124</v>
      </c>
      <c r="E110" s="110" cm="1">
        <f t="array" ref="E110">INDEX(N110:Q110,case_number)</f>
        <v>0.12086720128749208</v>
      </c>
      <c r="F110" s="104"/>
      <c r="G110" s="104"/>
      <c r="H110" t="s">
        <v>309</v>
      </c>
      <c r="I110" s="105"/>
      <c r="K110" s="106">
        <f t="shared" si="9"/>
        <v>47</v>
      </c>
      <c r="L110" s="105" t="s">
        <v>128</v>
      </c>
      <c r="M110" s="103" t="s">
        <v>124</v>
      </c>
      <c r="N110" s="113">
        <v>0.12086720128749208</v>
      </c>
      <c r="O110" s="113">
        <v>7.9434688944403545E-2</v>
      </c>
      <c r="P110" s="113">
        <v>7.0415521415501711E-2</v>
      </c>
      <c r="Q110" s="113">
        <v>6.7449115532076859E-2</v>
      </c>
      <c r="R110" t="str">
        <f t="shared" si="6"/>
        <v>(valid in case T-Flange is calculated)</v>
      </c>
      <c r="Z110" s="106">
        <v>47</v>
      </c>
      <c r="AA110" s="105" t="s">
        <v>412</v>
      </c>
      <c r="AB110" s="103" t="s">
        <v>124</v>
      </c>
      <c r="AC110" s="113">
        <v>0.11662403043349931</v>
      </c>
      <c r="AD110" s="113">
        <v>5.7087891074944296E-2</v>
      </c>
      <c r="AE110" s="113">
        <v>4.5734916845549152E-2</v>
      </c>
      <c r="AF110" s="113">
        <v>4.1153055945649206E-2</v>
      </c>
      <c r="AG110" t="s">
        <v>309</v>
      </c>
    </row>
    <row r="111" spans="2:33" ht="15.6">
      <c r="B111" s="106">
        <f t="shared" si="8"/>
        <v>48</v>
      </c>
      <c r="C111" s="105" t="s">
        <v>126</v>
      </c>
      <c r="D111" s="103" t="s">
        <v>122</v>
      </c>
      <c r="E111" s="128"/>
      <c r="F111" s="128"/>
      <c r="G111" s="128"/>
      <c r="H111" t="s">
        <v>273</v>
      </c>
      <c r="I111" s="105"/>
      <c r="K111" s="106">
        <f t="shared" si="9"/>
        <v>48</v>
      </c>
      <c r="L111" s="105" t="s">
        <v>126</v>
      </c>
      <c r="M111" s="103" t="s">
        <v>122</v>
      </c>
      <c r="N111" s="128"/>
      <c r="O111" s="128"/>
      <c r="P111" s="128"/>
      <c r="Q111" s="128"/>
      <c r="R111" t="str">
        <f t="shared" si="6"/>
        <v>Bending moment L-Flange as a function of external force Z</v>
      </c>
      <c r="Z111" s="106">
        <v>48</v>
      </c>
      <c r="AA111" s="105" t="s">
        <v>413</v>
      </c>
      <c r="AB111" s="103" t="s">
        <v>122</v>
      </c>
      <c r="AC111" s="128"/>
      <c r="AD111" s="128"/>
      <c r="AE111" s="128"/>
      <c r="AF111" s="128"/>
      <c r="AG111" t="s">
        <v>273</v>
      </c>
    </row>
    <row r="112" spans="2:33">
      <c r="B112" s="106">
        <f t="shared" si="8"/>
        <v>49</v>
      </c>
      <c r="C112" s="105" t="s">
        <v>2</v>
      </c>
      <c r="D112" s="103" t="s">
        <v>127</v>
      </c>
      <c r="E112" s="107" cm="1">
        <f t="array" ref="E112">INDEX(N112:Q112,case_number)</f>
        <v>112.77695050276786</v>
      </c>
      <c r="F112" s="107" cm="1">
        <f t="array" aca="1" ref="F112" ca="1">INDIRECT(sheet_name&amp;"!a_star")</f>
        <v>112.77695050276785</v>
      </c>
      <c r="G112" s="118">
        <f ca="1">(F112-E112)/E112</f>
        <v>-1.2600850308373279E-16</v>
      </c>
      <c r="I112" s="105"/>
      <c r="K112" s="106">
        <f t="shared" si="9"/>
        <v>49</v>
      </c>
      <c r="L112" s="105" t="s">
        <v>2</v>
      </c>
      <c r="M112" s="103" t="s">
        <v>127</v>
      </c>
      <c r="N112" s="107">
        <v>112.77695050276786</v>
      </c>
      <c r="O112" s="107">
        <v>112.77695050276786</v>
      </c>
      <c r="P112" s="107">
        <v>112.77695050276786</v>
      </c>
      <c r="Q112" s="107">
        <v>112.77695050276786</v>
      </c>
      <c r="R112" t="str">
        <f t="shared" si="6"/>
        <v/>
      </c>
      <c r="Z112" s="106">
        <v>49</v>
      </c>
      <c r="AA112" s="105" t="s">
        <v>2</v>
      </c>
      <c r="AB112" s="103" t="s">
        <v>127</v>
      </c>
      <c r="AC112" s="107">
        <v>74.341986610976164</v>
      </c>
      <c r="AD112" s="107">
        <v>74.341986610976164</v>
      </c>
      <c r="AE112" s="107">
        <v>74.341986610976164</v>
      </c>
      <c r="AF112" s="107">
        <v>74.341986610976164</v>
      </c>
      <c r="AG112" t="s">
        <v>347</v>
      </c>
    </row>
    <row r="113" spans="2:33" ht="15.6">
      <c r="B113" s="106"/>
      <c r="C113" s="105" t="s">
        <v>271</v>
      </c>
      <c r="D113" s="103" t="s">
        <v>270</v>
      </c>
      <c r="E113" s="114" cm="1">
        <f t="array" ref="E113">INDEX(N113:Q113,case_number)</f>
        <v>1.6641565715404047E-9</v>
      </c>
      <c r="F113" s="114" cm="1">
        <f t="array" aca="1" ref="F113" ca="1">1/(INDIRECT(sheet_name&amp;"!bolt.bending_stiffness")*1000000)</f>
        <v>1.6642873860837012E-9</v>
      </c>
      <c r="G113" s="118">
        <f ca="1">(F113-E113)/E113</f>
        <v>7.8607112776309221E-5</v>
      </c>
      <c r="H113" t="s">
        <v>272</v>
      </c>
      <c r="I113" s="105"/>
      <c r="K113" s="106"/>
      <c r="L113" s="105" t="s">
        <v>271</v>
      </c>
      <c r="M113" s="103" t="s">
        <v>270</v>
      </c>
      <c r="N113" s="114">
        <v>1.6641565715404047E-9</v>
      </c>
      <c r="O113" s="114">
        <v>1.6641565715404047E-9</v>
      </c>
      <c r="P113" s="114">
        <v>1.6641565715404047E-9</v>
      </c>
      <c r="Q113" s="114">
        <v>1.6641565715404047E-9</v>
      </c>
      <c r="R113" t="str">
        <f t="shared" si="6"/>
        <v>Bending resilience of bolt assembly</v>
      </c>
      <c r="Z113" s="106"/>
      <c r="AA113" s="105" t="s">
        <v>414</v>
      </c>
      <c r="AB113" s="103" t="s">
        <v>270</v>
      </c>
      <c r="AC113" s="114">
        <v>6.7808046075429031E-9</v>
      </c>
      <c r="AD113" s="114">
        <v>6.7808046075429031E-9</v>
      </c>
      <c r="AE113" s="114">
        <v>6.7808046075429031E-9</v>
      </c>
      <c r="AF113" s="114">
        <v>6.7808046075429031E-9</v>
      </c>
      <c r="AG113" t="s">
        <v>415</v>
      </c>
    </row>
    <row r="114" spans="2:33" ht="15.6">
      <c r="B114" s="106">
        <f>B112+1</f>
        <v>50</v>
      </c>
      <c r="C114" s="105" t="s">
        <v>126</v>
      </c>
      <c r="D114" s="103" t="s">
        <v>122</v>
      </c>
      <c r="E114" s="128"/>
      <c r="F114" s="128"/>
      <c r="G114" s="128"/>
      <c r="H114" t="s">
        <v>269</v>
      </c>
      <c r="I114" s="105"/>
      <c r="K114" s="106">
        <f>K112+1</f>
        <v>50</v>
      </c>
      <c r="L114" s="105" t="s">
        <v>126</v>
      </c>
      <c r="M114" s="103" t="s">
        <v>122</v>
      </c>
      <c r="N114" s="128"/>
      <c r="O114" s="128"/>
      <c r="P114" s="128"/>
      <c r="Q114" s="128"/>
      <c r="R114" t="str">
        <f t="shared" si="6"/>
        <v>Bending moment for T-Flange as a function of external force Z</v>
      </c>
      <c r="Z114" s="106">
        <v>50</v>
      </c>
      <c r="AA114" s="105" t="s">
        <v>413</v>
      </c>
      <c r="AB114" s="103" t="s">
        <v>122</v>
      </c>
      <c r="AC114" s="128"/>
      <c r="AD114" s="128"/>
      <c r="AE114" s="128"/>
      <c r="AF114" s="128"/>
      <c r="AG114" t="s">
        <v>269</v>
      </c>
    </row>
    <row r="115" spans="2:33" ht="15.6">
      <c r="B115" s="106">
        <f>B114+1</f>
        <v>51</v>
      </c>
      <c r="C115" s="105" t="s">
        <v>268</v>
      </c>
      <c r="D115" s="103" t="s">
        <v>124</v>
      </c>
      <c r="E115" s="128"/>
      <c r="F115" s="128"/>
      <c r="G115" s="128"/>
      <c r="H115" t="s">
        <v>267</v>
      </c>
      <c r="I115" s="105"/>
      <c r="K115" s="106">
        <f>K114+1</f>
        <v>51</v>
      </c>
      <c r="L115" s="105" t="s">
        <v>268</v>
      </c>
      <c r="M115" s="103" t="s">
        <v>124</v>
      </c>
      <c r="N115" s="128"/>
      <c r="O115" s="128"/>
      <c r="P115" s="128"/>
      <c r="Q115" s="128"/>
      <c r="R115" t="str">
        <f t="shared" si="6"/>
        <v>Intermediate values as function of Z</v>
      </c>
      <c r="Z115" s="106">
        <v>51</v>
      </c>
      <c r="AA115" s="105" t="s">
        <v>416</v>
      </c>
      <c r="AB115" s="103" t="s">
        <v>124</v>
      </c>
      <c r="AC115" s="128"/>
      <c r="AD115" s="128"/>
      <c r="AE115" s="128"/>
      <c r="AF115" s="128"/>
      <c r="AG115" t="s">
        <v>267</v>
      </c>
    </row>
    <row r="116" spans="2:33" ht="15.6">
      <c r="B116" s="106">
        <f>B115+1</f>
        <v>52</v>
      </c>
      <c r="C116" s="105" t="s">
        <v>266</v>
      </c>
      <c r="D116" s="103" t="s">
        <v>124</v>
      </c>
      <c r="E116" s="128"/>
      <c r="F116" s="128"/>
      <c r="G116" s="128"/>
      <c r="H116" t="s">
        <v>267</v>
      </c>
      <c r="I116" s="105"/>
      <c r="K116" s="106">
        <f>K115+1</f>
        <v>52</v>
      </c>
      <c r="L116" s="105" t="s">
        <v>266</v>
      </c>
      <c r="M116" s="103" t="s">
        <v>124</v>
      </c>
      <c r="N116" s="128"/>
      <c r="O116" s="128"/>
      <c r="P116" s="128"/>
      <c r="Q116" s="128"/>
      <c r="R116" t="str">
        <f t="shared" si="6"/>
        <v>Intermediate values as function of Z</v>
      </c>
      <c r="Z116" s="106">
        <v>52</v>
      </c>
      <c r="AA116" s="105" t="s">
        <v>417</v>
      </c>
      <c r="AB116" s="103" t="s">
        <v>124</v>
      </c>
      <c r="AC116" s="128"/>
      <c r="AD116" s="128"/>
      <c r="AE116" s="128"/>
      <c r="AF116" s="128"/>
      <c r="AG116" t="s">
        <v>267</v>
      </c>
    </row>
    <row r="117" spans="2:33" ht="15.6">
      <c r="B117" s="106">
        <f>B116+1</f>
        <v>53</v>
      </c>
      <c r="C117" s="105" t="s">
        <v>125</v>
      </c>
      <c r="D117" s="103" t="s">
        <v>124</v>
      </c>
      <c r="E117" s="113" cm="1">
        <f t="array" ref="E117">INDEX(N117:Q117,case_number)</f>
        <v>0.35217783841910105</v>
      </c>
      <c r="F117" s="113" cm="1">
        <f t="array" aca="1" ref="F117" ca="1">INDIRECT(sheet_name&amp;"!true_moment_initial_slope")</f>
        <v>0.35210840400989052</v>
      </c>
      <c r="G117" s="118">
        <f ca="1">(F117-E117)/E117</f>
        <v>-1.9715723602092437E-4</v>
      </c>
      <c r="H117" t="s">
        <v>310</v>
      </c>
      <c r="I117" s="105"/>
      <c r="K117" s="106">
        <f>K116+1</f>
        <v>53</v>
      </c>
      <c r="L117" s="105" t="s">
        <v>125</v>
      </c>
      <c r="M117" s="103" t="s">
        <v>124</v>
      </c>
      <c r="N117" s="109">
        <v>0.35217783841910105</v>
      </c>
      <c r="O117" s="109">
        <v>0.28876091170784912</v>
      </c>
      <c r="P117" s="109">
        <v>0.27474943450813921</v>
      </c>
      <c r="Q117" s="109">
        <v>0.26958729529068504</v>
      </c>
      <c r="R117" t="str">
        <f t="shared" si="6"/>
        <v>(valid in case L-Flange is calculated)</v>
      </c>
      <c r="Z117" s="106">
        <v>53</v>
      </c>
      <c r="AA117" s="105" t="s">
        <v>418</v>
      </c>
      <c r="AB117" s="103" t="s">
        <v>124</v>
      </c>
      <c r="AC117" s="109">
        <v>0.19967104328349522</v>
      </c>
      <c r="AD117" s="109">
        <v>0.16432289632462671</v>
      </c>
      <c r="AE117" s="109">
        <v>0.1548186279410291</v>
      </c>
      <c r="AF117" s="109">
        <v>0.15084002522695492</v>
      </c>
      <c r="AG117" t="s">
        <v>310</v>
      </c>
    </row>
    <row r="118" spans="2:33" ht="15.6">
      <c r="C118" s="105" t="s">
        <v>125</v>
      </c>
      <c r="D118" s="103" t="s">
        <v>124</v>
      </c>
      <c r="E118" s="113" cm="1">
        <f t="array" ref="E118">INDEX(N118:Q118,case_number)</f>
        <v>0.23834942538714121</v>
      </c>
      <c r="F118" s="109" t="s">
        <v>87</v>
      </c>
      <c r="G118" s="109" t="s">
        <v>87</v>
      </c>
      <c r="H118" t="s">
        <v>309</v>
      </c>
      <c r="L118" s="105" t="s">
        <v>125</v>
      </c>
      <c r="M118" s="103" t="s">
        <v>124</v>
      </c>
      <c r="N118" s="114">
        <v>0.23834942538714121</v>
      </c>
      <c r="O118" s="114">
        <v>0.17478861375996074</v>
      </c>
      <c r="P118" s="114">
        <v>0.15436464274380934</v>
      </c>
      <c r="Q118" s="114">
        <v>0.14658212878455978</v>
      </c>
      <c r="R118" t="str">
        <f t="shared" si="6"/>
        <v>(valid in case T-Flange is calculated)</v>
      </c>
      <c r="AA118" s="105" t="s">
        <v>418</v>
      </c>
      <c r="AB118" s="103" t="s">
        <v>124</v>
      </c>
      <c r="AC118" s="114">
        <v>0.54369949524356476</v>
      </c>
      <c r="AD118" s="114">
        <v>0.55006886815760159</v>
      </c>
      <c r="AE118" s="114">
        <v>0.54902760124831862</v>
      </c>
      <c r="AF118" s="114">
        <v>0.54838075370525208</v>
      </c>
      <c r="AG118" t="s">
        <v>309</v>
      </c>
    </row>
    <row r="119" spans="2:33" ht="15.6">
      <c r="B119" s="106">
        <f>B117+1</f>
        <v>54</v>
      </c>
      <c r="C119" s="105" t="s">
        <v>123</v>
      </c>
      <c r="D119" s="103" t="s">
        <v>122</v>
      </c>
      <c r="E119" s="108" cm="1">
        <f t="array" ref="E119">INDEX(N119:Q119,case_number)</f>
        <v>-229.47733186720896</v>
      </c>
      <c r="F119" s="108" cm="1">
        <f t="array" aca="1" ref="F119" ca="1">INDIRECT(sheet_name&amp;"!point4.Ms")</f>
        <v>-229.43355372679758</v>
      </c>
      <c r="G119" s="118">
        <f ca="1">(F119-E119)/E119</f>
        <v>-1.907732674733615E-4</v>
      </c>
      <c r="H119" t="s">
        <v>310</v>
      </c>
      <c r="I119" s="105"/>
      <c r="K119" s="106">
        <f>K117+1</f>
        <v>54</v>
      </c>
      <c r="L119" s="105" t="s">
        <v>123</v>
      </c>
      <c r="M119" s="103" t="s">
        <v>122</v>
      </c>
      <c r="N119" s="108">
        <v>-229.47733186720896</v>
      </c>
      <c r="O119" s="108">
        <v>-141.32300182618761</v>
      </c>
      <c r="P119" s="108">
        <v>-126.76146104490445</v>
      </c>
      <c r="Q119" s="108">
        <v>-122.58349002913043</v>
      </c>
      <c r="R119" t="str">
        <f t="shared" si="6"/>
        <v>(valid in case L-Flange is calculated)</v>
      </c>
      <c r="Z119" s="106">
        <v>54</v>
      </c>
      <c r="AA119" s="105" t="s">
        <v>419</v>
      </c>
      <c r="AB119" s="103" t="s">
        <v>122</v>
      </c>
      <c r="AC119" s="108">
        <v>-39.859975939219623</v>
      </c>
      <c r="AD119" s="108">
        <v>-19.392266160885868</v>
      </c>
      <c r="AE119" s="108">
        <v>-16.034701537802789</v>
      </c>
      <c r="AF119" s="108">
        <v>-14.76634987060744</v>
      </c>
      <c r="AG119" t="s">
        <v>310</v>
      </c>
    </row>
    <row r="120" spans="2:33" ht="15.6">
      <c r="C120" s="105" t="s">
        <v>123</v>
      </c>
      <c r="D120" s="103" t="s">
        <v>122</v>
      </c>
      <c r="E120" s="108" cm="1">
        <f t="array" ref="E120">INDEX(N120:Q120,case_number)</f>
        <v>-171.16153355682698</v>
      </c>
      <c r="F120" s="109" t="s">
        <v>87</v>
      </c>
      <c r="G120" s="109" t="s">
        <v>87</v>
      </c>
      <c r="H120" t="s">
        <v>309</v>
      </c>
      <c r="L120" s="105" t="s">
        <v>123</v>
      </c>
      <c r="M120" s="103" t="s">
        <v>122</v>
      </c>
      <c r="N120" s="108">
        <v>-171.16153355682698</v>
      </c>
      <c r="O120" s="108">
        <v>-92.603440097605485</v>
      </c>
      <c r="P120" s="108">
        <v>-76.419733382203191</v>
      </c>
      <c r="Q120" s="108">
        <v>-71.209386674340266</v>
      </c>
      <c r="R120" t="str">
        <f t="shared" si="6"/>
        <v>(valid in case T-Flange is calculated)</v>
      </c>
      <c r="AA120" s="105" t="s">
        <v>419</v>
      </c>
      <c r="AB120" s="103" t="s">
        <v>122</v>
      </c>
      <c r="AC120" s="108">
        <v>-397.15543922091894</v>
      </c>
      <c r="AD120" s="108">
        <v>-404.48917844359784</v>
      </c>
      <c r="AE120" s="108">
        <v>-408.28964979396551</v>
      </c>
      <c r="AF120" s="108">
        <v>-410.13082561232886</v>
      </c>
      <c r="AG120" t="s">
        <v>309</v>
      </c>
    </row>
    <row r="121" spans="2:33">
      <c r="N121" s="109">
        <v>-123.19166666666668</v>
      </c>
      <c r="O121" s="109">
        <v>-123.19166666666668</v>
      </c>
      <c r="P121" s="109">
        <v>-123.19166666666668</v>
      </c>
      <c r="Q121" s="109">
        <v>-123.19166666666668</v>
      </c>
      <c r="AA121" s="105" t="s">
        <v>420</v>
      </c>
      <c r="AB121" s="103" t="s">
        <v>129</v>
      </c>
      <c r="AC121" s="109">
        <v>-30.038888888888888</v>
      </c>
      <c r="AD121" s="109">
        <v>-30.038888888888888</v>
      </c>
      <c r="AE121" s="109">
        <v>-30.038888888888888</v>
      </c>
      <c r="AF121" s="109">
        <v>-30.038888888888888</v>
      </c>
    </row>
    <row r="122" spans="2:33" ht="13.8">
      <c r="N122" s="113">
        <v>0</v>
      </c>
      <c r="O122" s="113">
        <v>0</v>
      </c>
      <c r="P122" s="113">
        <v>0</v>
      </c>
      <c r="Q122" s="113">
        <v>0</v>
      </c>
      <c r="AA122" s="154" t="s">
        <v>421</v>
      </c>
      <c r="AB122" s="103" t="s">
        <v>122</v>
      </c>
      <c r="AC122" s="113">
        <v>-437.04889326817641</v>
      </c>
      <c r="AD122" s="113">
        <v>-437.04889326817641</v>
      </c>
      <c r="AE122" s="113">
        <v>-437.04889326817641</v>
      </c>
      <c r="AF122" s="113">
        <v>-437.04889326817641</v>
      </c>
      <c r="AG122" s="155" t="s">
        <v>422</v>
      </c>
    </row>
    <row r="123" spans="2:33" ht="13.8">
      <c r="N123" s="109">
        <v>-71.552154055834237</v>
      </c>
      <c r="O123" s="109">
        <v>-83.756193624864608</v>
      </c>
      <c r="P123" s="109">
        <v>-87.722465386590997</v>
      </c>
      <c r="Q123" s="109">
        <v>-89.603826344462561</v>
      </c>
      <c r="AA123" s="154" t="s">
        <v>423</v>
      </c>
      <c r="AB123" s="103" t="s">
        <v>122</v>
      </c>
      <c r="AC123" s="109">
        <v>-12.975440564878406</v>
      </c>
      <c r="AD123" s="109">
        <v>-14.122778963275536</v>
      </c>
      <c r="AE123" s="109">
        <v>-14.335292780869318</v>
      </c>
      <c r="AF123" s="109">
        <v>-14.420851032204688</v>
      </c>
      <c r="AG123" s="155" t="s">
        <v>422</v>
      </c>
    </row>
    <row r="124" spans="2:33" ht="13.8">
      <c r="N124" s="113">
        <v>-25.606064536096081</v>
      </c>
      <c r="O124" s="113">
        <v>-22.453179292579161</v>
      </c>
      <c r="P124" s="113">
        <v>-21.500788559412335</v>
      </c>
      <c r="Q124" s="113">
        <v>-21.256195638241046</v>
      </c>
      <c r="AA124" s="154" t="s">
        <v>424</v>
      </c>
      <c r="AB124" s="103" t="s">
        <v>122</v>
      </c>
      <c r="AC124" s="113">
        <v>-297.34193608844919</v>
      </c>
      <c r="AD124" s="113">
        <v>-355.05772411460316</v>
      </c>
      <c r="AE124" s="113">
        <v>-368.76351073439196</v>
      </c>
      <c r="AF124" s="113">
        <v>-374.60643662353533</v>
      </c>
      <c r="AG124" s="155" t="s">
        <v>422</v>
      </c>
    </row>
    <row r="125" spans="2:33" ht="13.8">
      <c r="N125" s="113">
        <v>8.0377339692700757E-3</v>
      </c>
      <c r="O125" s="113">
        <v>2.817931242103059E-3</v>
      </c>
      <c r="P125" s="113">
        <v>1.3469169304211131E-3</v>
      </c>
      <c r="Q125" s="113">
        <v>6.9984919899360556E-4</v>
      </c>
      <c r="AA125" s="154" t="s">
        <v>421</v>
      </c>
      <c r="AB125" s="103" t="s">
        <v>122</v>
      </c>
      <c r="AC125" s="113">
        <v>-437.04571236198524</v>
      </c>
      <c r="AD125" s="113">
        <v>-437.04852364890121</v>
      </c>
      <c r="AE125" s="113">
        <v>-437.04914510732283</v>
      </c>
      <c r="AF125" s="113">
        <v>-437.04940049159632</v>
      </c>
      <c r="AG125" s="155" t="s">
        <v>425</v>
      </c>
    </row>
    <row r="126" spans="2:33" ht="13.8">
      <c r="N126" s="109">
        <v>-71.494119189415173</v>
      </c>
      <c r="O126" s="109">
        <v>-83.688260247135759</v>
      </c>
      <c r="P126" s="109">
        <v>-87.651315026020583</v>
      </c>
      <c r="Q126" s="109">
        <v>-89.531150040567098</v>
      </c>
      <c r="AA126" s="154" t="s">
        <v>423</v>
      </c>
      <c r="AB126" s="103" t="s">
        <v>122</v>
      </c>
      <c r="AC126" s="109">
        <v>-12.932388411852086</v>
      </c>
      <c r="AD126" s="109">
        <v>-14.07591997316697</v>
      </c>
      <c r="AE126" s="109">
        <v>-14.287728675789939</v>
      </c>
      <c r="AF126" s="109">
        <v>-14.373003047213039</v>
      </c>
      <c r="AG126" s="155" t="s">
        <v>425</v>
      </c>
    </row>
    <row r="127" spans="2:33" ht="13.8">
      <c r="N127" s="113">
        <v>-25.582229593557368</v>
      </c>
      <c r="O127" s="113">
        <v>-22.435700431203166</v>
      </c>
      <c r="P127" s="113">
        <v>-21.485352095137955</v>
      </c>
      <c r="Q127" s="113">
        <v>-21.241537425362591</v>
      </c>
      <c r="AA127" s="154" t="s">
        <v>424</v>
      </c>
      <c r="AB127" s="103" t="s">
        <v>122</v>
      </c>
      <c r="AC127" s="113">
        <v>-297.28756613892483</v>
      </c>
      <c r="AD127" s="113">
        <v>-355.0027172277874</v>
      </c>
      <c r="AE127" s="113">
        <v>-368.70860797426712</v>
      </c>
      <c r="AF127" s="113">
        <v>-374.5515985481648</v>
      </c>
      <c r="AG127" s="155" t="s">
        <v>425</v>
      </c>
    </row>
    <row r="128" spans="2:33" ht="13.8">
      <c r="N128" s="108">
        <v>-14.409012039973653</v>
      </c>
      <c r="O128" s="108">
        <v>-25.430708667884439</v>
      </c>
      <c r="P128" s="108">
        <v>-29.012722955393865</v>
      </c>
      <c r="Q128" s="108">
        <v>-30.711815260688951</v>
      </c>
      <c r="AA128" s="154" t="s">
        <v>426</v>
      </c>
      <c r="AB128" s="103" t="s">
        <v>122</v>
      </c>
      <c r="AC128" s="108">
        <v>-3.203943556271498</v>
      </c>
      <c r="AD128" s="108">
        <v>-4.6255338204697996</v>
      </c>
      <c r="AE128" s="108">
        <v>-4.8888454768398741</v>
      </c>
      <c r="AF128" s="108">
        <v>-4.9948549830937488</v>
      </c>
    </row>
    <row r="129" spans="14:33" ht="13.8">
      <c r="N129" s="108">
        <v>2474.010095833265</v>
      </c>
      <c r="O129" s="108">
        <v>2589.9084087922447</v>
      </c>
      <c r="P129" s="108">
        <v>2615.137540258816</v>
      </c>
      <c r="Q129" s="108">
        <v>2623.435406306467</v>
      </c>
      <c r="AA129" s="154" t="s">
        <v>427</v>
      </c>
      <c r="AB129" s="103" t="s">
        <v>122</v>
      </c>
      <c r="AC129" s="108">
        <v>596.72919709875691</v>
      </c>
      <c r="AD129" s="108">
        <v>628.89045146175511</v>
      </c>
      <c r="AE129" s="108">
        <v>635.02329608188029</v>
      </c>
      <c r="AF129" s="108">
        <v>637.49840440172159</v>
      </c>
    </row>
    <row r="130" spans="14:33" ht="13.8">
      <c r="N130" s="108">
        <v>167.26239327303617</v>
      </c>
      <c r="O130" s="108">
        <v>93.472069550343292</v>
      </c>
      <c r="P130" s="108">
        <v>82.351111132710159</v>
      </c>
      <c r="Q130" s="108">
        <v>78.673882200569949</v>
      </c>
      <c r="AA130" s="154" t="s">
        <v>428</v>
      </c>
      <c r="AB130" s="103" t="s">
        <v>122</v>
      </c>
      <c r="AC130" s="108">
        <v>24.884769374257711</v>
      </c>
      <c r="AD130" s="108">
        <v>13.469211813986993</v>
      </c>
      <c r="AE130" s="108">
        <v>11.834057888823509</v>
      </c>
      <c r="AF130" s="108">
        <v>11.204465005070764</v>
      </c>
    </row>
    <row r="131" spans="14:33">
      <c r="N131" s="138">
        <v>3.8347985246987089E-4</v>
      </c>
      <c r="O131" s="138">
        <v>6.2955656601340008E-4</v>
      </c>
      <c r="P131" s="138">
        <v>7.3476209523519378E-4</v>
      </c>
      <c r="Q131" s="138">
        <v>7.9628092305187139E-4</v>
      </c>
      <c r="AA131" s="112" t="s">
        <v>429</v>
      </c>
      <c r="AC131" s="138">
        <v>1.3585867103678068E-3</v>
      </c>
      <c r="AD131" s="138">
        <v>1.3306985650607718E-3</v>
      </c>
      <c r="AE131" s="138">
        <v>1.3365505318725527E-3</v>
      </c>
      <c r="AF131" s="138">
        <v>1.3396943094196299E-3</v>
      </c>
      <c r="AG131" t="s">
        <v>430</v>
      </c>
    </row>
    <row r="132" spans="14:33">
      <c r="N132" s="138">
        <v>0.44669923073944989</v>
      </c>
      <c r="O132" s="138">
        <v>0.44393611262640414</v>
      </c>
      <c r="P132" s="138">
        <v>0.45585604495694787</v>
      </c>
      <c r="Q132" s="138">
        <v>0.46585727148838396</v>
      </c>
      <c r="AA132" s="112" t="s">
        <v>431</v>
      </c>
      <c r="AC132" s="138">
        <v>0.28142777243099387</v>
      </c>
      <c r="AD132" s="138">
        <v>0.24440137886202404</v>
      </c>
      <c r="AE132" s="138">
        <v>0.23524926883512343</v>
      </c>
      <c r="AF132" s="138">
        <v>0.23145985166638022</v>
      </c>
      <c r="AG132" t="s">
        <v>432</v>
      </c>
    </row>
    <row r="133" spans="14:33">
      <c r="N133" s="138">
        <v>34.836066626761408</v>
      </c>
      <c r="O133" s="138">
        <v>19.733129024490381</v>
      </c>
      <c r="P133" s="138">
        <v>16.021531162473138</v>
      </c>
      <c r="Q133" s="138">
        <v>14.620369189643156</v>
      </c>
      <c r="AA133" s="112" t="s">
        <v>433</v>
      </c>
      <c r="AC133" s="138">
        <v>4.043901004717668</v>
      </c>
      <c r="AD133" s="138">
        <v>1.5317086487409313</v>
      </c>
      <c r="AE133" s="138">
        <v>0.98724691576524037</v>
      </c>
      <c r="AF133" s="138">
        <v>0.76417292792643821</v>
      </c>
      <c r="AG133" t="s">
        <v>434</v>
      </c>
    </row>
    <row r="134" spans="14:33">
      <c r="N134" s="112"/>
      <c r="O134" s="112"/>
      <c r="P134" s="112"/>
      <c r="Q134" s="112"/>
      <c r="AA134" s="112"/>
      <c r="AC134" s="112"/>
      <c r="AD134" s="112"/>
      <c r="AE134" s="112"/>
      <c r="AF134" s="112"/>
    </row>
    <row r="135" spans="14:33">
      <c r="N135" s="109">
        <v>0.67827717230411011</v>
      </c>
      <c r="O135" s="109">
        <v>1.7571837762169691</v>
      </c>
      <c r="P135" s="109">
        <v>2.6319495705301894</v>
      </c>
      <c r="Q135" s="109">
        <v>3.3053456904774898</v>
      </c>
      <c r="AA135" s="103" t="s">
        <v>94</v>
      </c>
      <c r="AB135" s="153"/>
      <c r="AC135" s="109">
        <v>1.6271928058322642</v>
      </c>
      <c r="AD135" s="109">
        <v>1.017729275187885</v>
      </c>
      <c r="AE135" s="109">
        <v>0.94128679345903044</v>
      </c>
      <c r="AF135" s="109">
        <v>0.91302706261091382</v>
      </c>
      <c r="AG135" t="s">
        <v>435</v>
      </c>
    </row>
  </sheetData>
  <conditionalFormatting sqref="G29:G31">
    <cfRule type="cellIs" dxfId="15" priority="18" operator="notBetween">
      <formula>-0.001</formula>
      <formula>0.001</formula>
    </cfRule>
  </conditionalFormatting>
  <conditionalFormatting sqref="G36:G38">
    <cfRule type="cellIs" dxfId="14" priority="17" operator="notBetween">
      <formula>-0.001</formula>
      <formula>0.001</formula>
    </cfRule>
  </conditionalFormatting>
  <conditionalFormatting sqref="G48:G53">
    <cfRule type="cellIs" dxfId="13" priority="16" operator="notBetween">
      <formula>-0.001</formula>
      <formula>0.001</formula>
    </cfRule>
  </conditionalFormatting>
  <conditionalFormatting sqref="G60:G61">
    <cfRule type="cellIs" dxfId="12" priority="15" operator="notBetween">
      <formula>-0.001</formula>
      <formula>0.001</formula>
    </cfRule>
  </conditionalFormatting>
  <conditionalFormatting sqref="G67:G72">
    <cfRule type="cellIs" dxfId="11" priority="4" operator="notBetween">
      <formula>-0.001</formula>
      <formula>0.001</formula>
    </cfRule>
  </conditionalFormatting>
  <conditionalFormatting sqref="G76:G79">
    <cfRule type="cellIs" dxfId="10" priority="3" operator="notBetween">
      <formula>-0.001</formula>
      <formula>0.001</formula>
    </cfRule>
  </conditionalFormatting>
  <conditionalFormatting sqref="G81:G84">
    <cfRule type="cellIs" dxfId="9" priority="13" operator="notBetween">
      <formula>-0.001</formula>
      <formula>0.001</formula>
    </cfRule>
  </conditionalFormatting>
  <conditionalFormatting sqref="G86:G89">
    <cfRule type="cellIs" dxfId="8" priority="12" operator="notBetween">
      <formula>-0.001</formula>
      <formula>0.001</formula>
    </cfRule>
  </conditionalFormatting>
  <conditionalFormatting sqref="G92">
    <cfRule type="cellIs" dxfId="7" priority="1" operator="notBetween">
      <formula>-0.001</formula>
      <formula>0.001</formula>
    </cfRule>
  </conditionalFormatting>
  <conditionalFormatting sqref="G94:G95">
    <cfRule type="cellIs" dxfId="6" priority="11" operator="notBetween">
      <formula>-0.001</formula>
      <formula>0.001</formula>
    </cfRule>
  </conditionalFormatting>
  <conditionalFormatting sqref="G97:G101">
    <cfRule type="cellIs" dxfId="5" priority="10" operator="notBetween">
      <formula>-0.001</formula>
      <formula>0.001</formula>
    </cfRule>
  </conditionalFormatting>
  <conditionalFormatting sqref="G104">
    <cfRule type="cellIs" dxfId="4" priority="9" operator="notBetween">
      <formula>-0.001</formula>
      <formula>0.001</formula>
    </cfRule>
  </conditionalFormatting>
  <conditionalFormatting sqref="G106:G108">
    <cfRule type="cellIs" dxfId="3" priority="8" operator="notBetween">
      <formula>-0.001</formula>
      <formula>0.001</formula>
    </cfRule>
  </conditionalFormatting>
  <conditionalFormatting sqref="G112:G113">
    <cfRule type="cellIs" dxfId="2" priority="7" operator="notBetween">
      <formula>-0.001</formula>
      <formula>0.001</formula>
    </cfRule>
  </conditionalFormatting>
  <conditionalFormatting sqref="G117">
    <cfRule type="cellIs" dxfId="1" priority="6" operator="notBetween">
      <formula>-0.001</formula>
      <formula>0.001</formula>
    </cfRule>
  </conditionalFormatting>
  <conditionalFormatting sqref="G119">
    <cfRule type="cellIs" dxfId="0" priority="5" operator="notBetween">
      <formula>-0.001</formula>
      <formula>0.001</formula>
    </cfRule>
  </conditionalFormatting>
  <dataValidations count="1">
    <dataValidation type="list" allowBlank="1" showInputMessage="1" showErrorMessage="1" sqref="G21" xr:uid="{A97D2F7B-FDA4-407E-92F3-17F2D0816A54}">
      <formula1>$N$48:$Q$48</formula1>
    </dataValidation>
  </dataValidations>
  <pageMargins left="0.7" right="0.7" top="0.78740157499999996" bottom="0.78740157499999996" header="0.3" footer="0.3"/>
  <pageSetup orientation="portrait" horizontalDpi="4294967295" verticalDpi="4294967295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6145" r:id="rId4" name="Button 1">
              <controlPr defaultSize="0" print="0" autoFill="0" autoPict="0">
                <anchor moveWithCells="1" sizeWithCells="1">
                  <from>
                    <xdr:col>13</xdr:col>
                    <xdr:colOff>99060</xdr:colOff>
                    <xdr:row>2</xdr:row>
                    <xdr:rowOff>152400</xdr:rowOff>
                  </from>
                  <to>
                    <xdr:col>15</xdr:col>
                    <xdr:colOff>335280</xdr:colOff>
                    <xdr:row>6</xdr:row>
                    <xdr:rowOff>60960</xdr:rowOff>
                  </to>
                </anchor>
              </controlPr>
            </control>
          </mc:Choice>
        </mc:AlternateContent>
      </controls>
    </mc:Choice>
  </mc:AlternateConten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2278e7f3-5df8-4100-b836-5320443b7544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4E5A98ECA1EC044BB77E0D7F6ADEF7BC" ma:contentTypeVersion="18" ma:contentTypeDescription="Crear nuevo documento." ma:contentTypeScope="" ma:versionID="5e88349ac6f5efd4674595e2a92e1fa9">
  <xsd:schema xmlns:xsd="http://www.w3.org/2001/XMLSchema" xmlns:xs="http://www.w3.org/2001/XMLSchema" xmlns:p="http://schemas.microsoft.com/office/2006/metadata/properties" xmlns:ns3="2278e7f3-5df8-4100-b836-5320443b7544" xmlns:ns4="3fb9cbd1-4a98-4945-a235-2d8a3d5ec2be" targetNamespace="http://schemas.microsoft.com/office/2006/metadata/properties" ma:root="true" ma:fieldsID="bde21b231255bb48ab8a6ec7dd561648" ns3:_="" ns4:_="">
    <xsd:import namespace="2278e7f3-5df8-4100-b836-5320443b7544"/>
    <xsd:import namespace="3fb9cbd1-4a98-4945-a235-2d8a3d5ec2be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Location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LengthInSeconds" minOccurs="0"/>
                <xsd:element ref="ns3:_activity" minOccurs="0"/>
                <xsd:element ref="ns3:MediaServiceObjectDetectorVersions" minOccurs="0"/>
                <xsd:element ref="ns3:MediaServiceSystemTag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278e7f3-5df8-4100-b836-5320443b754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3" nillable="true" ma:displayName="Location" ma:internalName="MediaServiceLocatio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1" nillable="true" ma:displayName="Length (seconds)" ma:internalName="MediaLengthInSeconds" ma:readOnly="true">
      <xsd:simpleType>
        <xsd:restriction base="dms:Unknown"/>
      </xsd:simpleType>
    </xsd:element>
    <xsd:element name="_activity" ma:index="22" nillable="true" ma:displayName="_activity" ma:hidden="true" ma:internalName="_activity">
      <xsd:simpleType>
        <xsd:restriction base="dms:Note"/>
      </xsd:simpleType>
    </xsd:element>
    <xsd:element name="MediaServiceObjectDetectorVersions" ma:index="2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ystemTags" ma:index="24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fb9cbd1-4a98-4945-a235-2d8a3d5ec2be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6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D3A318F-BD98-4749-9B6A-DFC991AC8E75}">
  <ds:schemaRefs>
    <ds:schemaRef ds:uri="http://purl.org/dc/elements/1.1/"/>
    <ds:schemaRef ds:uri="http://schemas.openxmlformats.org/package/2006/metadata/core-properties"/>
    <ds:schemaRef ds:uri="http://purl.org/dc/dcmitype/"/>
    <ds:schemaRef ds:uri="http://purl.org/dc/terms/"/>
    <ds:schemaRef ds:uri="http://schemas.microsoft.com/office/2006/documentManagement/types"/>
    <ds:schemaRef ds:uri="http://schemas.microsoft.com/office/2006/metadata/properties"/>
    <ds:schemaRef ds:uri="http://schemas.microsoft.com/office/infopath/2007/PartnerControls"/>
    <ds:schemaRef ds:uri="3fb9cbd1-4a98-4945-a235-2d8a3d5ec2be"/>
    <ds:schemaRef ds:uri="2278e7f3-5df8-4100-b836-5320443b7544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6A7863D2-B6F1-4C67-B9E9-1F3A9276C4F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278e7f3-5df8-4100-b836-5320443b7544"/>
    <ds:schemaRef ds:uri="3fb9cbd1-4a98-4945-a235-2d8a3d5ec2b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52E10DE4-EB42-4EC5-8AEE-EE77FE7979AC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335</vt:i4>
      </vt:variant>
    </vt:vector>
  </HeadingPairs>
  <TitlesOfParts>
    <vt:vector size="340" baseType="lpstr">
      <vt:lpstr>Gap30deg</vt:lpstr>
      <vt:lpstr>Gap60deg</vt:lpstr>
      <vt:lpstr>Gap90deg</vt:lpstr>
      <vt:lpstr>Gap120deg</vt:lpstr>
      <vt:lpstr>AMD1</vt:lpstr>
      <vt:lpstr>Gap120deg!a</vt:lpstr>
      <vt:lpstr>Gap30deg!a</vt:lpstr>
      <vt:lpstr>Gap60deg!a</vt:lpstr>
      <vt:lpstr>Gap90deg!a</vt:lpstr>
      <vt:lpstr>Gap120deg!a_prime</vt:lpstr>
      <vt:lpstr>Gap30deg!a_prime</vt:lpstr>
      <vt:lpstr>Gap60deg!a_prime</vt:lpstr>
      <vt:lpstr>Gap90deg!a_prime</vt:lpstr>
      <vt:lpstr>Gap120deg!a_star</vt:lpstr>
      <vt:lpstr>Gap30deg!a_star</vt:lpstr>
      <vt:lpstr>Gap60deg!a_star</vt:lpstr>
      <vt:lpstr>Gap90deg!a_star</vt:lpstr>
      <vt:lpstr>Gap120deg!b</vt:lpstr>
      <vt:lpstr>Gap30deg!b</vt:lpstr>
      <vt:lpstr>Gap60deg!b</vt:lpstr>
      <vt:lpstr>Gap90deg!b</vt:lpstr>
      <vt:lpstr>Gap120deg!bolt.As</vt:lpstr>
      <vt:lpstr>Gap30deg!bolt.As</vt:lpstr>
      <vt:lpstr>Gap60deg!bolt.As</vt:lpstr>
      <vt:lpstr>Gap90deg!bolt.As</vt:lpstr>
      <vt:lpstr>Gap120deg!bolt.axial_stiffness</vt:lpstr>
      <vt:lpstr>Gap30deg!bolt.axial_stiffness</vt:lpstr>
      <vt:lpstr>Gap60deg!bolt.axial_stiffness</vt:lpstr>
      <vt:lpstr>Gap90deg!bolt.axial_stiffness</vt:lpstr>
      <vt:lpstr>Gap120deg!bolt.bending_stiffness</vt:lpstr>
      <vt:lpstr>Gap30deg!bolt.bending_stiffness</vt:lpstr>
      <vt:lpstr>Gap60deg!bolt.bending_stiffness</vt:lpstr>
      <vt:lpstr>Gap90deg!bolt.bending_stiffness</vt:lpstr>
      <vt:lpstr>Gap120deg!bolt.Dn</vt:lpstr>
      <vt:lpstr>Gap30deg!bolt.Dn</vt:lpstr>
      <vt:lpstr>Gap60deg!bolt.Dn</vt:lpstr>
      <vt:lpstr>Gap90deg!bolt.Dn</vt:lpstr>
      <vt:lpstr>Gap120deg!bolt.Dsh</vt:lpstr>
      <vt:lpstr>Gap30deg!bolt.Dsh</vt:lpstr>
      <vt:lpstr>Gap60deg!bolt.Dsh</vt:lpstr>
      <vt:lpstr>Gap90deg!bolt.Dsh</vt:lpstr>
      <vt:lpstr>Gap120deg!bolt.E</vt:lpstr>
      <vt:lpstr>Gap30deg!bolt.E</vt:lpstr>
      <vt:lpstr>Gap60deg!bolt.E</vt:lpstr>
      <vt:lpstr>Gap90deg!bolt.E</vt:lpstr>
      <vt:lpstr>Gap120deg!bolt.fu</vt:lpstr>
      <vt:lpstr>Gap30deg!bolt.fu</vt:lpstr>
      <vt:lpstr>Gap60deg!bolt.fu</vt:lpstr>
      <vt:lpstr>Gap90deg!bolt.fu</vt:lpstr>
      <vt:lpstr>Gap120deg!bolt.fy</vt:lpstr>
      <vt:lpstr>Gap30deg!bolt.fy</vt:lpstr>
      <vt:lpstr>Gap60deg!bolt.fy</vt:lpstr>
      <vt:lpstr>Gap90deg!bolt.fy</vt:lpstr>
      <vt:lpstr>Gap120deg!bolt.Lsh</vt:lpstr>
      <vt:lpstr>Gap30deg!bolt.Lsh</vt:lpstr>
      <vt:lpstr>Gap60deg!bolt.Lsh</vt:lpstr>
      <vt:lpstr>Gap90deg!bolt.Lsh</vt:lpstr>
      <vt:lpstr>Gap120deg!bolt.pitch</vt:lpstr>
      <vt:lpstr>Gap30deg!bolt.pitch</vt:lpstr>
      <vt:lpstr>Gap60deg!bolt.pitch</vt:lpstr>
      <vt:lpstr>Gap90deg!bolt.pitch</vt:lpstr>
      <vt:lpstr>Gap120deg!bolt.pretension</vt:lpstr>
      <vt:lpstr>Gap30deg!bolt.pretension</vt:lpstr>
      <vt:lpstr>Gap60deg!bolt.pretension</vt:lpstr>
      <vt:lpstr>Gap90deg!bolt.pretension</vt:lpstr>
      <vt:lpstr>Gap120deg!bolt.size</vt:lpstr>
      <vt:lpstr>Gap30deg!bolt.size</vt:lpstr>
      <vt:lpstr>Gap60deg!bolt.size</vt:lpstr>
      <vt:lpstr>Gap90deg!bolt.size</vt:lpstr>
      <vt:lpstr>'AMD1'!case_number</vt:lpstr>
      <vt:lpstr>Gap120deg!central_angle</vt:lpstr>
      <vt:lpstr>Gap30deg!central_angle</vt:lpstr>
      <vt:lpstr>Gap60deg!central_angle</vt:lpstr>
      <vt:lpstr>Gap90deg!central_angle</vt:lpstr>
      <vt:lpstr>Gap120deg!clamped_parts_stiffness</vt:lpstr>
      <vt:lpstr>Gap30deg!clamped_parts_stiffness</vt:lpstr>
      <vt:lpstr>Gap60deg!clamped_parts_stiffness</vt:lpstr>
      <vt:lpstr>Gap90deg!clamped_parts_stiffness</vt:lpstr>
      <vt:lpstr>Gap120deg!dataseries.Fs</vt:lpstr>
      <vt:lpstr>Gap30deg!dataseries.Fs</vt:lpstr>
      <vt:lpstr>Gap60deg!dataseries.Fs</vt:lpstr>
      <vt:lpstr>Gap90deg!dataseries.Fs</vt:lpstr>
      <vt:lpstr>Gap120deg!dataseries.Ms</vt:lpstr>
      <vt:lpstr>Gap30deg!dataseries.Ms</vt:lpstr>
      <vt:lpstr>Gap60deg!dataseries.Ms</vt:lpstr>
      <vt:lpstr>Gap90deg!dataseries.Ms</vt:lpstr>
      <vt:lpstr>Gap120deg!dataseries.Z</vt:lpstr>
      <vt:lpstr>Gap30deg!dataseries.Z</vt:lpstr>
      <vt:lpstr>Gap60deg!dataseries.Z</vt:lpstr>
      <vt:lpstr>Gap90deg!dataseries.Z</vt:lpstr>
      <vt:lpstr>Gap120deg!Do</vt:lpstr>
      <vt:lpstr>Gap30deg!Do</vt:lpstr>
      <vt:lpstr>Gap60deg!Do</vt:lpstr>
      <vt:lpstr>Gap90deg!Do</vt:lpstr>
      <vt:lpstr>Gap120deg!Dw</vt:lpstr>
      <vt:lpstr>Gap30deg!Dw</vt:lpstr>
      <vt:lpstr>Gap60deg!Dw</vt:lpstr>
      <vt:lpstr>Gap90deg!Dw</vt:lpstr>
      <vt:lpstr>Gap120deg!DZ_gap</vt:lpstr>
      <vt:lpstr>Gap30deg!DZ_gap</vt:lpstr>
      <vt:lpstr>Gap60deg!DZ_gap</vt:lpstr>
      <vt:lpstr>Gap90deg!DZ_gap</vt:lpstr>
      <vt:lpstr>Gap120deg!DZ_gap_inclination</vt:lpstr>
      <vt:lpstr>Gap30deg!DZ_gap_inclination</vt:lpstr>
      <vt:lpstr>Gap60deg!DZ_gap_inclination</vt:lpstr>
      <vt:lpstr>Gap90deg!DZ_gap_inclination</vt:lpstr>
      <vt:lpstr>Gap120deg!DZ_gap_tot</vt:lpstr>
      <vt:lpstr>Gap30deg!DZ_gap_tot</vt:lpstr>
      <vt:lpstr>Gap60deg!DZ_gap_tot</vt:lpstr>
      <vt:lpstr>Gap90deg!DZ_gap_tot</vt:lpstr>
      <vt:lpstr>Gap120deg!E_mod</vt:lpstr>
      <vt:lpstr>Gap30deg!E_mod</vt:lpstr>
      <vt:lpstr>Gap60deg!E_mod</vt:lpstr>
      <vt:lpstr>Gap90deg!E_mod</vt:lpstr>
      <vt:lpstr>Gap120deg!flange.A_cf</vt:lpstr>
      <vt:lpstr>Gap30deg!flange.A_cf</vt:lpstr>
      <vt:lpstr>Gap60deg!flange.A_cf</vt:lpstr>
      <vt:lpstr>Gap90deg!flange.A_cf</vt:lpstr>
      <vt:lpstr>Gap120deg!flange.I_cf</vt:lpstr>
      <vt:lpstr>Gap30deg!flange.I_cf</vt:lpstr>
      <vt:lpstr>Gap60deg!flange.I_cf</vt:lpstr>
      <vt:lpstr>Gap90deg!flange.I_cf</vt:lpstr>
      <vt:lpstr>Gap120deg!Fs_coeff.comp.0</vt:lpstr>
      <vt:lpstr>Gap30deg!Fs_coeff.comp.0</vt:lpstr>
      <vt:lpstr>Gap60deg!Fs_coeff.comp.0</vt:lpstr>
      <vt:lpstr>Gap90deg!Fs_coeff.comp.0</vt:lpstr>
      <vt:lpstr>Gap120deg!Fs_coeff.comp.1</vt:lpstr>
      <vt:lpstr>Gap30deg!Fs_coeff.comp.1</vt:lpstr>
      <vt:lpstr>Gap60deg!Fs_coeff.comp.1</vt:lpstr>
      <vt:lpstr>Gap90deg!Fs_coeff.comp.1</vt:lpstr>
      <vt:lpstr>Gap120deg!Fs_coeff.comp.2</vt:lpstr>
      <vt:lpstr>Gap30deg!Fs_coeff.comp.2</vt:lpstr>
      <vt:lpstr>Gap60deg!Fs_coeff.comp.2</vt:lpstr>
      <vt:lpstr>Gap90deg!Fs_coeff.comp.2</vt:lpstr>
      <vt:lpstr>Gap120deg!Fs_coeff.const</vt:lpstr>
      <vt:lpstr>Gap30deg!Fs_coeff.const</vt:lpstr>
      <vt:lpstr>Gap60deg!Fs_coeff.const</vt:lpstr>
      <vt:lpstr>Gap90deg!Fs_coeff.const</vt:lpstr>
      <vt:lpstr>Gap120deg!Fs_coeff.tens.0</vt:lpstr>
      <vt:lpstr>Gap30deg!Fs_coeff.tens.0</vt:lpstr>
      <vt:lpstr>Gap60deg!Fs_coeff.tens.0</vt:lpstr>
      <vt:lpstr>Gap90deg!Fs_coeff.tens.0</vt:lpstr>
      <vt:lpstr>Gap120deg!Fs_coeff.tens.1</vt:lpstr>
      <vt:lpstr>Gap30deg!Fs_coeff.tens.1</vt:lpstr>
      <vt:lpstr>Gap60deg!Fs_coeff.tens.1</vt:lpstr>
      <vt:lpstr>Gap90deg!Fs_coeff.tens.1</vt:lpstr>
      <vt:lpstr>Gap120deg!Fs_coeff.tens.2</vt:lpstr>
      <vt:lpstr>Gap30deg!Fs_coeff.tens.2</vt:lpstr>
      <vt:lpstr>Gap60deg!Fs_coeff.tens.2</vt:lpstr>
      <vt:lpstr>Gap90deg!Fs_coeff.tens.2</vt:lpstr>
      <vt:lpstr>Gap120deg!G_mod</vt:lpstr>
      <vt:lpstr>Gap30deg!G_mod</vt:lpstr>
      <vt:lpstr>Gap60deg!G_mod</vt:lpstr>
      <vt:lpstr>Gap90deg!G_mod</vt:lpstr>
      <vt:lpstr>Gap120deg!gap.angle</vt:lpstr>
      <vt:lpstr>Gap30deg!gap.angle</vt:lpstr>
      <vt:lpstr>Gap60deg!gap.angle</vt:lpstr>
      <vt:lpstr>Gap90deg!gap.angle</vt:lpstr>
      <vt:lpstr>Gap120deg!gap.COV</vt:lpstr>
      <vt:lpstr>Gap30deg!gap.COV</vt:lpstr>
      <vt:lpstr>Gap60deg!gap.COV</vt:lpstr>
      <vt:lpstr>Gap90deg!gap.COV</vt:lpstr>
      <vt:lpstr>Gap120deg!gap.h</vt:lpstr>
      <vt:lpstr>Gap30deg!gap.h</vt:lpstr>
      <vt:lpstr>Gap60deg!gap.h</vt:lpstr>
      <vt:lpstr>Gap90deg!gap.h</vt:lpstr>
      <vt:lpstr>Gap120deg!gap.k_fac</vt:lpstr>
      <vt:lpstr>Gap30deg!gap.k_fac</vt:lpstr>
      <vt:lpstr>Gap60deg!gap.k_fac</vt:lpstr>
      <vt:lpstr>Gap90deg!gap.k_fac</vt:lpstr>
      <vt:lpstr>Gap120deg!gap.k_fl</vt:lpstr>
      <vt:lpstr>Gap30deg!gap.k_fl</vt:lpstr>
      <vt:lpstr>Gap60deg!gap.k_fl</vt:lpstr>
      <vt:lpstr>Gap90deg!gap.k_fl</vt:lpstr>
      <vt:lpstr>Gap120deg!gap.k_mean</vt:lpstr>
      <vt:lpstr>Gap30deg!gap.k_mean</vt:lpstr>
      <vt:lpstr>Gap60deg!gap.k_mean</vt:lpstr>
      <vt:lpstr>Gap90deg!gap.k_mean</vt:lpstr>
      <vt:lpstr>Gap120deg!gap.k_shell</vt:lpstr>
      <vt:lpstr>Gap30deg!gap.k_shell</vt:lpstr>
      <vt:lpstr>Gap60deg!gap.k_shell</vt:lpstr>
      <vt:lpstr>Gap90deg!gap.k_shell</vt:lpstr>
      <vt:lpstr>Gap120deg!gap.L</vt:lpstr>
      <vt:lpstr>Gap30deg!gap.L</vt:lpstr>
      <vt:lpstr>Gap60deg!gap.L</vt:lpstr>
      <vt:lpstr>Gap90deg!gap.L</vt:lpstr>
      <vt:lpstr>Gap120deg!gap.stiffness</vt:lpstr>
      <vt:lpstr>Gap30deg!gap.stiffness</vt:lpstr>
      <vt:lpstr>Gap60deg!gap.stiffness</vt:lpstr>
      <vt:lpstr>Gap90deg!gap.stiffness</vt:lpstr>
      <vt:lpstr>'AMD1'!gap_angle</vt:lpstr>
      <vt:lpstr>Gap120deg!I_tg</vt:lpstr>
      <vt:lpstr>Gap30deg!I_tg</vt:lpstr>
      <vt:lpstr>Gap60deg!I_tg</vt:lpstr>
      <vt:lpstr>Gap90deg!I_tg</vt:lpstr>
      <vt:lpstr>Gap120deg!k_seg</vt:lpstr>
      <vt:lpstr>Gap30deg!k_seg</vt:lpstr>
      <vt:lpstr>Gap60deg!k_seg</vt:lpstr>
      <vt:lpstr>Gap90deg!k_seg</vt:lpstr>
      <vt:lpstr>Gap120deg!Ms_coeff.comp.0</vt:lpstr>
      <vt:lpstr>Gap30deg!Ms_coeff.comp.0</vt:lpstr>
      <vt:lpstr>Gap60deg!Ms_coeff.comp.0</vt:lpstr>
      <vt:lpstr>Gap90deg!Ms_coeff.comp.0</vt:lpstr>
      <vt:lpstr>Gap120deg!Ms_coeff.comp.1</vt:lpstr>
      <vt:lpstr>Gap30deg!Ms_coeff.comp.1</vt:lpstr>
      <vt:lpstr>Gap60deg!Ms_coeff.comp.1</vt:lpstr>
      <vt:lpstr>Gap90deg!Ms_coeff.comp.1</vt:lpstr>
      <vt:lpstr>Gap120deg!Ms_coeff.comp.2</vt:lpstr>
      <vt:lpstr>Gap30deg!Ms_coeff.comp.2</vt:lpstr>
      <vt:lpstr>Gap60deg!Ms_coeff.comp.2</vt:lpstr>
      <vt:lpstr>Gap90deg!Ms_coeff.comp.2</vt:lpstr>
      <vt:lpstr>Gap120deg!Ms_coeff.const</vt:lpstr>
      <vt:lpstr>Gap30deg!Ms_coeff.const</vt:lpstr>
      <vt:lpstr>Gap60deg!Ms_coeff.const</vt:lpstr>
      <vt:lpstr>Gap90deg!Ms_coeff.const</vt:lpstr>
      <vt:lpstr>Gap120deg!Ms_coeff.tens.0</vt:lpstr>
      <vt:lpstr>Gap30deg!Ms_coeff.tens.0</vt:lpstr>
      <vt:lpstr>Gap60deg!Ms_coeff.tens.0</vt:lpstr>
      <vt:lpstr>Gap90deg!Ms_coeff.tens.0</vt:lpstr>
      <vt:lpstr>Gap120deg!Ms_coeff.tens.1</vt:lpstr>
      <vt:lpstr>Gap30deg!Ms_coeff.tens.1</vt:lpstr>
      <vt:lpstr>Gap60deg!Ms_coeff.tens.1</vt:lpstr>
      <vt:lpstr>Gap90deg!Ms_coeff.tens.1</vt:lpstr>
      <vt:lpstr>Gap120deg!Ms_coeff.tens.2</vt:lpstr>
      <vt:lpstr>Gap30deg!Ms_coeff.tens.2</vt:lpstr>
      <vt:lpstr>Gap60deg!Ms_coeff.tens.2</vt:lpstr>
      <vt:lpstr>Gap90deg!Ms_coeff.tens.2</vt:lpstr>
      <vt:lpstr>Gap120deg!point1.Fs</vt:lpstr>
      <vt:lpstr>Gap30deg!point1.Fs</vt:lpstr>
      <vt:lpstr>Gap60deg!point1.Fs</vt:lpstr>
      <vt:lpstr>Gap90deg!point1.Fs</vt:lpstr>
      <vt:lpstr>Gap120deg!point1.Ms</vt:lpstr>
      <vt:lpstr>Gap30deg!point1.Ms</vt:lpstr>
      <vt:lpstr>Gap60deg!point1.Ms</vt:lpstr>
      <vt:lpstr>Gap90deg!point1.Ms</vt:lpstr>
      <vt:lpstr>Gap120deg!point1.Z</vt:lpstr>
      <vt:lpstr>Gap30deg!point1.Z</vt:lpstr>
      <vt:lpstr>Gap60deg!point1.Z</vt:lpstr>
      <vt:lpstr>Gap90deg!point1.Z</vt:lpstr>
      <vt:lpstr>Gap120deg!point2.Fs</vt:lpstr>
      <vt:lpstr>Gap30deg!point2.Fs</vt:lpstr>
      <vt:lpstr>Gap60deg!point2.Fs</vt:lpstr>
      <vt:lpstr>Gap90deg!point2.Fs</vt:lpstr>
      <vt:lpstr>Gap120deg!point2.Ms</vt:lpstr>
      <vt:lpstr>Gap30deg!point2.Ms</vt:lpstr>
      <vt:lpstr>Gap60deg!point2.Ms</vt:lpstr>
      <vt:lpstr>Gap90deg!point2.Ms</vt:lpstr>
      <vt:lpstr>Gap120deg!point2.Z</vt:lpstr>
      <vt:lpstr>Gap30deg!point2.Z</vt:lpstr>
      <vt:lpstr>Gap60deg!point2.Z</vt:lpstr>
      <vt:lpstr>Gap90deg!point2.Z</vt:lpstr>
      <vt:lpstr>Gap120deg!point3.Fs</vt:lpstr>
      <vt:lpstr>Gap30deg!point3.Fs</vt:lpstr>
      <vt:lpstr>Gap60deg!point3.Fs</vt:lpstr>
      <vt:lpstr>Gap90deg!point3.Fs</vt:lpstr>
      <vt:lpstr>Gap120deg!point3.Ms</vt:lpstr>
      <vt:lpstr>Gap30deg!point3.Ms</vt:lpstr>
      <vt:lpstr>Gap60deg!point3.Ms</vt:lpstr>
      <vt:lpstr>Gap90deg!point3.Ms</vt:lpstr>
      <vt:lpstr>Gap120deg!point3.Z</vt:lpstr>
      <vt:lpstr>Gap30deg!point3.Z</vt:lpstr>
      <vt:lpstr>Gap60deg!point3.Z</vt:lpstr>
      <vt:lpstr>Gap90deg!point3.Z</vt:lpstr>
      <vt:lpstr>Gap120deg!point4.Fs</vt:lpstr>
      <vt:lpstr>Gap30deg!point4.Fs</vt:lpstr>
      <vt:lpstr>Gap60deg!point4.Fs</vt:lpstr>
      <vt:lpstr>Gap90deg!point4.Fs</vt:lpstr>
      <vt:lpstr>Gap120deg!point4.Ms</vt:lpstr>
      <vt:lpstr>Gap30deg!point4.Ms</vt:lpstr>
      <vt:lpstr>Gap60deg!point4.Ms</vt:lpstr>
      <vt:lpstr>Gap90deg!point4.Ms</vt:lpstr>
      <vt:lpstr>Gap120deg!point4.Z</vt:lpstr>
      <vt:lpstr>Gap30deg!point4.Z</vt:lpstr>
      <vt:lpstr>Gap60deg!point4.Z</vt:lpstr>
      <vt:lpstr>Gap90deg!point4.Z</vt:lpstr>
      <vt:lpstr>Gap120deg!polynomial_initial_slope</vt:lpstr>
      <vt:lpstr>Gap30deg!polynomial_initial_slope</vt:lpstr>
      <vt:lpstr>Gap60deg!polynomial_initial_slope</vt:lpstr>
      <vt:lpstr>Gap90deg!polynomial_initial_slope</vt:lpstr>
      <vt:lpstr>Gap120deg!Print_Area</vt:lpstr>
      <vt:lpstr>Gap30deg!Print_Area</vt:lpstr>
      <vt:lpstr>Gap60deg!Print_Area</vt:lpstr>
      <vt:lpstr>Gap90deg!Print_Area</vt:lpstr>
      <vt:lpstr>Gap120deg!Radius</vt:lpstr>
      <vt:lpstr>Gap30deg!Radius</vt:lpstr>
      <vt:lpstr>Gap60deg!Radius</vt:lpstr>
      <vt:lpstr>Gap90deg!Radius</vt:lpstr>
      <vt:lpstr>'AMD1'!sheet_name</vt:lpstr>
      <vt:lpstr>Gap120deg!shell_thickness</vt:lpstr>
      <vt:lpstr>Gap30deg!shell_thickness</vt:lpstr>
      <vt:lpstr>Gap60deg!shell_thickness</vt:lpstr>
      <vt:lpstr>Gap90deg!shell_thickness</vt:lpstr>
      <vt:lpstr>Gap120deg!stiffness_correction_factor</vt:lpstr>
      <vt:lpstr>Gap30deg!stiffness_correction_factor</vt:lpstr>
      <vt:lpstr>Gap60deg!stiffness_correction_factor</vt:lpstr>
      <vt:lpstr>Gap90deg!stiffness_correction_factor</vt:lpstr>
      <vt:lpstr>Gap120deg!t</vt:lpstr>
      <vt:lpstr>Gap30deg!t</vt:lpstr>
      <vt:lpstr>Gap60deg!t</vt:lpstr>
      <vt:lpstr>Gap90deg!t</vt:lpstr>
      <vt:lpstr>Gap120deg!TemplateTitle</vt:lpstr>
      <vt:lpstr>Gap30deg!TemplateTitle</vt:lpstr>
      <vt:lpstr>Gap60deg!TemplateTitle</vt:lpstr>
      <vt:lpstr>Gap90deg!TemplateTitle</vt:lpstr>
      <vt:lpstr>Gap120deg!TemplateVersion</vt:lpstr>
      <vt:lpstr>Gap30deg!TemplateVersion</vt:lpstr>
      <vt:lpstr>Gap60deg!TemplateVersion</vt:lpstr>
      <vt:lpstr>Gap90deg!TemplateVersion</vt:lpstr>
      <vt:lpstr>Gap120deg!Title</vt:lpstr>
      <vt:lpstr>Gap30deg!Title</vt:lpstr>
      <vt:lpstr>Gap60deg!Title</vt:lpstr>
      <vt:lpstr>Gap90deg!Title</vt:lpstr>
      <vt:lpstr>Gap120deg!true_force_initial_slope</vt:lpstr>
      <vt:lpstr>Gap30deg!true_force_initial_slope</vt:lpstr>
      <vt:lpstr>Gap60deg!true_force_initial_slope</vt:lpstr>
      <vt:lpstr>Gap90deg!true_force_initial_slope</vt:lpstr>
      <vt:lpstr>Gap120deg!true_moment_initial_slope</vt:lpstr>
      <vt:lpstr>Gap30deg!true_moment_initial_slope</vt:lpstr>
      <vt:lpstr>Gap60deg!true_moment_initial_slope</vt:lpstr>
      <vt:lpstr>Gap90deg!true_moment_initial_slope</vt:lpstr>
      <vt:lpstr>Gap120deg!u</vt:lpstr>
      <vt:lpstr>Gap30deg!u</vt:lpstr>
      <vt:lpstr>Gap60deg!u</vt:lpstr>
      <vt:lpstr>Gap90deg!u</vt:lpstr>
      <vt:lpstr>Gap120deg!u_tol</vt:lpstr>
      <vt:lpstr>Gap30deg!u_tol</vt:lpstr>
      <vt:lpstr>Gap60deg!u_tol</vt:lpstr>
      <vt:lpstr>Gap90deg!u_tol</vt:lpstr>
      <vt:lpstr>Gap120deg!Z_2_td</vt:lpstr>
      <vt:lpstr>Gap30deg!Z_2_td</vt:lpstr>
      <vt:lpstr>Gap60deg!Z_2_td</vt:lpstr>
      <vt:lpstr>Gap90deg!Z_2_td</vt:lpstr>
      <vt:lpstr>Gap120deg!Z_dw</vt:lpstr>
      <vt:lpstr>Gap30deg!Z_dw</vt:lpstr>
      <vt:lpstr>Gap60deg!Z_dw</vt:lpstr>
      <vt:lpstr>Gap90deg!Z_dw</vt:lpstr>
      <vt:lpstr>Gap120deg!Z0</vt:lpstr>
      <vt:lpstr>Gap30deg!Z0</vt:lpstr>
      <vt:lpstr>Gap60deg!Z0</vt:lpstr>
      <vt:lpstr>Gap90deg!Z0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Seidel, Marc (SGRE OF S&amp;PR EN SUS)</dc:creator>
  <cp:lastModifiedBy>Del Buono, Marcello</cp:lastModifiedBy>
  <dcterms:created xsi:type="dcterms:W3CDTF">2024-03-07T08:42:31Z</dcterms:created>
  <dcterms:modified xsi:type="dcterms:W3CDTF">2024-08-16T13:14:23Z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013f521-439d-4e48-8e98-41ab6c596aa7_Enabled">
    <vt:lpwstr>true</vt:lpwstr>
  </property>
  <property fmtid="{D5CDD505-2E9C-101B-9397-08002B2CF9AE}" pid="3" name="MSIP_Label_6013f521-439d-4e48-8e98-41ab6c596aa7_SetDate">
    <vt:lpwstr>2024-03-07T08:43:42Z</vt:lpwstr>
  </property>
  <property fmtid="{D5CDD505-2E9C-101B-9397-08002B2CF9AE}" pid="4" name="MSIP_Label_6013f521-439d-4e48-8e98-41ab6c596aa7_Method">
    <vt:lpwstr>Standard</vt:lpwstr>
  </property>
  <property fmtid="{D5CDD505-2E9C-101B-9397-08002B2CF9AE}" pid="5" name="MSIP_Label_6013f521-439d-4e48-8e98-41ab6c596aa7_Name">
    <vt:lpwstr>6013f521-439d-4e48-8e98-41ab6c596aa7</vt:lpwstr>
  </property>
  <property fmtid="{D5CDD505-2E9C-101B-9397-08002B2CF9AE}" pid="6" name="MSIP_Label_6013f521-439d-4e48-8e98-41ab6c596aa7_SiteId">
    <vt:lpwstr>12f921d8-f30d-4596-a652-7045b338485a</vt:lpwstr>
  </property>
  <property fmtid="{D5CDD505-2E9C-101B-9397-08002B2CF9AE}" pid="7" name="MSIP_Label_6013f521-439d-4e48-8e98-41ab6c596aa7_ActionId">
    <vt:lpwstr>7234a3fb-e318-4358-a981-1b72456cf40e</vt:lpwstr>
  </property>
  <property fmtid="{D5CDD505-2E9C-101B-9397-08002B2CF9AE}" pid="8" name="MSIP_Label_6013f521-439d-4e48-8e98-41ab6c596aa7_ContentBits">
    <vt:lpwstr>0</vt:lpwstr>
  </property>
  <property fmtid="{D5CDD505-2E9C-101B-9397-08002B2CF9AE}" pid="9" name="ContentTypeId">
    <vt:lpwstr>0x0101004E5A98ECA1EC044BB77E0D7F6ADEF7BC</vt:lpwstr>
  </property>
</Properties>
</file>