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5E7212B7-04A4-4691-A17B-E2027F865368}" xr6:coauthVersionLast="47" xr6:coauthVersionMax="47" xr10:uidLastSave="{00000000-0000-0000-0000-000000000000}"/>
  <bookViews>
    <workbookView xWindow="-28920" yWindow="-8700" windowWidth="29040" windowHeight="18240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9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atigue.damage" localSheetId="4">PyFlange_Gap120deg!$J$169</definedName>
    <definedName name="fatigue.damage" localSheetId="1">PyFlange_Gap30deg!$J$169</definedName>
    <definedName name="fatigue.damage" localSheetId="2">PyFlange_Gap60deg!$J$169</definedName>
    <definedName name="fatigue.damage" localSheetId="3">PyFlange_Gap90deg!$J$169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arkov_matrix" localSheetId="5">SGRE!$U$16:$W$1216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PyFlange_Gap120deg!$A$11:$K$178</definedName>
    <definedName name="_xlnm.Print_Area" localSheetId="1">PyFlange_Gap30deg!$A$11:$K$178</definedName>
    <definedName name="_xlnm.Print_Area" localSheetId="2">PyFlange_Gap60deg!$A$11:$K$178</definedName>
    <definedName name="_xlnm.Print_Area" localSheetId="3">PyFlange_Gap90deg!$A$11:$K$178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9" l="1"/>
  <c r="C1" i="19" s="1"/>
  <c r="D1" i="19" s="1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S1" i="19" s="1"/>
  <c r="T1" i="19" s="1"/>
  <c r="U1" i="19" s="1"/>
  <c r="V1" i="19" s="1"/>
  <c r="W1" i="19" s="1"/>
  <c r="X1" i="19" s="1"/>
  <c r="Y1" i="19" s="1"/>
  <c r="Z1" i="19" s="1"/>
  <c r="AA1" i="19" s="1"/>
  <c r="AB1" i="19" s="1"/>
  <c r="AC1" i="19" s="1"/>
  <c r="AD1" i="19" s="1"/>
  <c r="AE1" i="19" s="1"/>
  <c r="AF1" i="19" s="1"/>
  <c r="AG1" i="19" s="1"/>
  <c r="AH1" i="19" s="1"/>
  <c r="AI1" i="19" s="1"/>
  <c r="AJ1" i="19" s="1"/>
  <c r="AK1" i="19" s="1"/>
  <c r="AL1" i="19" s="1"/>
  <c r="AM1" i="19" s="1"/>
  <c r="AD4" i="19"/>
  <c r="AK7" i="19"/>
  <c r="F104" i="19"/>
  <c r="AK8" i="19"/>
  <c r="AK9" i="19"/>
  <c r="AK10" i="19"/>
  <c r="AK11" i="19"/>
  <c r="AK12" i="19"/>
  <c r="AK13" i="19"/>
  <c r="I27" i="19"/>
  <c r="P27" i="19"/>
  <c r="B28" i="19"/>
  <c r="B31" i="19" s="1"/>
  <c r="B35" i="19" s="1"/>
  <c r="B39" i="19" s="1"/>
  <c r="B41" i="19" s="1"/>
  <c r="B42" i="19" s="1"/>
  <c r="B43" i="19" s="1"/>
  <c r="B44" i="19" s="1"/>
  <c r="B45" i="19" s="1"/>
  <c r="B47" i="19" s="1"/>
  <c r="B52" i="19" s="1"/>
  <c r="B53" i="19" s="1"/>
  <c r="B55" i="19" s="1"/>
  <c r="B56" i="19" s="1"/>
  <c r="B57" i="19" s="1"/>
  <c r="B58" i="19" s="1"/>
  <c r="B59" i="19" s="1"/>
  <c r="B60" i="19" s="1"/>
  <c r="B62" i="19" s="1"/>
  <c r="B63" i="19" s="1"/>
  <c r="B64" i="19" s="1"/>
  <c r="B65" i="19" s="1"/>
  <c r="B66" i="19" s="1"/>
  <c r="B79" i="19" s="1"/>
  <c r="B84" i="19" s="1"/>
  <c r="B86" i="19" s="1"/>
  <c r="B89" i="19" s="1"/>
  <c r="B90" i="19" s="1"/>
  <c r="B91" i="19" s="1"/>
  <c r="B92" i="19" s="1"/>
  <c r="B94" i="19" s="1"/>
  <c r="B95" i="19" s="1"/>
  <c r="B96" i="19" s="1"/>
  <c r="B97" i="19" s="1"/>
  <c r="B98" i="19" s="1"/>
  <c r="B100" i="19" s="1"/>
  <c r="B102" i="19" s="1"/>
  <c r="B103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5" i="19" s="1"/>
  <c r="B116" i="19" s="1"/>
  <c r="B117" i="19" s="1"/>
  <c r="B118" i="19" s="1"/>
  <c r="B120" i="19" s="1"/>
  <c r="I28" i="19"/>
  <c r="I31" i="19" s="1"/>
  <c r="I35" i="19" s="1"/>
  <c r="I39" i="19" s="1"/>
  <c r="I41" i="19" s="1"/>
  <c r="I42" i="19" s="1"/>
  <c r="I43" i="19" s="1"/>
  <c r="I44" i="19" s="1"/>
  <c r="I45" i="19" s="1"/>
  <c r="I47" i="19" s="1"/>
  <c r="I52" i="19" s="1"/>
  <c r="I53" i="19" s="1"/>
  <c r="I55" i="19" s="1"/>
  <c r="I56" i="19" s="1"/>
  <c r="I57" i="19" s="1"/>
  <c r="I58" i="19" s="1"/>
  <c r="I59" i="19" s="1"/>
  <c r="I60" i="19" s="1"/>
  <c r="I62" i="19" s="1"/>
  <c r="I63" i="19" s="1"/>
  <c r="I64" i="19" s="1"/>
  <c r="I65" i="19" s="1"/>
  <c r="I66" i="19" s="1"/>
  <c r="I79" i="19" s="1"/>
  <c r="I84" i="19" s="1"/>
  <c r="I86" i="19" s="1"/>
  <c r="I89" i="19" s="1"/>
  <c r="I90" i="19" s="1"/>
  <c r="I91" i="19" s="1"/>
  <c r="I92" i="19" s="1"/>
  <c r="I94" i="19" s="1"/>
  <c r="I95" i="19" s="1"/>
  <c r="I96" i="19" s="1"/>
  <c r="I97" i="19" s="1"/>
  <c r="I98" i="19" s="1"/>
  <c r="I100" i="19" s="1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E53" i="19"/>
  <c r="E57" i="19" s="1"/>
  <c r="P48" i="19"/>
  <c r="P49" i="19"/>
  <c r="E54" i="19"/>
  <c r="E55" i="19" s="1"/>
  <c r="E56" i="19" s="1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79" i="19"/>
  <c r="P80" i="19"/>
  <c r="P81" i="19"/>
  <c r="P82" i="19"/>
  <c r="P83" i="19"/>
  <c r="P84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I102" i="19"/>
  <c r="P102" i="19"/>
  <c r="E103" i="19"/>
  <c r="I103" i="19"/>
  <c r="I105" i="19" s="1"/>
  <c r="I106" i="19" s="1"/>
  <c r="I107" i="19" s="1"/>
  <c r="I108" i="19" s="1"/>
  <c r="I109" i="19" s="1"/>
  <c r="I110" i="19" s="1"/>
  <c r="I111" i="19" s="1"/>
  <c r="I112" i="19" s="1"/>
  <c r="I113" i="19" s="1"/>
  <c r="I115" i="19" s="1"/>
  <c r="I116" i="19" s="1"/>
  <c r="I117" i="19" s="1"/>
  <c r="I118" i="19" s="1"/>
  <c r="I120" i="19" s="1"/>
  <c r="P103" i="19"/>
  <c r="P106" i="19"/>
  <c r="P107" i="19"/>
  <c r="P108" i="19"/>
  <c r="P109" i="19"/>
  <c r="E111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E34" i="19" l="1"/>
  <c r="E28" i="19" s="1"/>
  <c r="E58" i="19"/>
  <c r="E59" i="19" s="1"/>
  <c r="E43" i="19"/>
  <c r="F105" i="19"/>
  <c r="P105" i="19" s="1"/>
  <c r="P104" i="19"/>
  <c r="Z2" i="16" l="1"/>
  <c r="E112" i="16" l="1" a="1"/>
  <c r="E112" i="16" s="1"/>
  <c r="E100" i="16" a="1"/>
  <c r="E100" i="16" s="1"/>
  <c r="E83" i="16" a="1"/>
  <c r="E83" i="16" s="1"/>
  <c r="E70" i="16" a="1"/>
  <c r="E70" i="16" s="1"/>
  <c r="E58" i="16" a="1"/>
  <c r="E58" i="16" s="1"/>
  <c r="E46" i="16" a="1"/>
  <c r="E46" i="16" s="1"/>
  <c r="E29" i="16" a="1"/>
  <c r="E29" i="16" s="1"/>
  <c r="E16" i="16" a="1"/>
  <c r="E16" i="16" s="1"/>
  <c r="E111" i="16" a="1"/>
  <c r="E111" i="16" s="1"/>
  <c r="E99" i="16" a="1"/>
  <c r="E99" i="16" s="1"/>
  <c r="E82" i="16" a="1"/>
  <c r="E82" i="16" s="1"/>
  <c r="E69" i="16" a="1"/>
  <c r="E69" i="16" s="1"/>
  <c r="E57" i="16" a="1"/>
  <c r="E57" i="16" s="1"/>
  <c r="E45" i="16" a="1"/>
  <c r="E45" i="16" s="1"/>
  <c r="E28" i="16" a="1"/>
  <c r="E28" i="16" s="1"/>
  <c r="E15" i="16" a="1"/>
  <c r="E15" i="16" s="1"/>
  <c r="E96" i="16" a="1"/>
  <c r="E96" i="16" s="1"/>
  <c r="E78" i="16" a="1"/>
  <c r="E78" i="16" s="1"/>
  <c r="E66" i="16" a="1"/>
  <c r="E66" i="16" s="1"/>
  <c r="E37" i="16" a="1"/>
  <c r="E37" i="16" s="1"/>
  <c r="E24" i="16" a="1"/>
  <c r="E24" i="16" s="1"/>
  <c r="E12" i="16" a="1"/>
  <c r="E12" i="16" s="1"/>
  <c r="E92" i="16" a="1"/>
  <c r="E92" i="16" s="1"/>
  <c r="E77" i="16" a="1"/>
  <c r="E77" i="16" s="1"/>
  <c r="E53" i="16" a="1"/>
  <c r="E53" i="16" s="1"/>
  <c r="E36" i="16" a="1"/>
  <c r="E36" i="16" s="1"/>
  <c r="E11" i="16" a="1"/>
  <c r="E11" i="16" s="1"/>
  <c r="E91" i="16" a="1"/>
  <c r="E91" i="16" s="1"/>
  <c r="E76" i="16" a="1"/>
  <c r="E76" i="16" s="1"/>
  <c r="E52" i="16" a="1"/>
  <c r="E52" i="16" s="1"/>
  <c r="E22" i="16" a="1"/>
  <c r="E22" i="16" s="1"/>
  <c r="E105" i="16" a="1"/>
  <c r="E105" i="16" s="1"/>
  <c r="E75" i="16" a="1"/>
  <c r="E75" i="16" s="1"/>
  <c r="E51" i="16" a="1"/>
  <c r="E51" i="16" s="1"/>
  <c r="E21" i="16" a="1"/>
  <c r="E21" i="16" s="1"/>
  <c r="E9" i="16" a="1"/>
  <c r="E9" i="16" s="1"/>
  <c r="E88" i="16" a="1"/>
  <c r="E88" i="16" s="1"/>
  <c r="E62" i="16" a="1"/>
  <c r="E62" i="16" s="1"/>
  <c r="E33" i="16" a="1"/>
  <c r="E33" i="16" s="1"/>
  <c r="E20" i="16" a="1"/>
  <c r="E20" i="16" s="1"/>
  <c r="E87" i="16" a="1"/>
  <c r="E87" i="16" s="1"/>
  <c r="E73" i="16" a="1"/>
  <c r="E73" i="16" s="1"/>
  <c r="E61" i="16" a="1"/>
  <c r="E61" i="16" s="1"/>
  <c r="E32" i="16" a="1"/>
  <c r="E32" i="16" s="1"/>
  <c r="E19" i="16" a="1"/>
  <c r="E19" i="16" s="1"/>
  <c r="E102" i="16" a="1"/>
  <c r="E102" i="16" s="1"/>
  <c r="E72" i="16" a="1"/>
  <c r="E72" i="16" s="1"/>
  <c r="E48" i="16" a="1"/>
  <c r="E48" i="16" s="1"/>
  <c r="E18" i="16" a="1"/>
  <c r="E18" i="16" s="1"/>
  <c r="E6" i="16" a="1"/>
  <c r="E6" i="16" s="1"/>
  <c r="E101" i="16" a="1"/>
  <c r="E101" i="16" s="1"/>
  <c r="E71" i="16" a="1"/>
  <c r="E71" i="16" s="1"/>
  <c r="E110" i="16" a="1"/>
  <c r="E110" i="16" s="1"/>
  <c r="E98" i="16" a="1"/>
  <c r="E98" i="16" s="1"/>
  <c r="E81" i="16" a="1"/>
  <c r="E81" i="16" s="1"/>
  <c r="E68" i="16" a="1"/>
  <c r="E68" i="16" s="1"/>
  <c r="E56" i="16" a="1"/>
  <c r="E56" i="16" s="1"/>
  <c r="E39" i="16" a="1"/>
  <c r="E39" i="16" s="1"/>
  <c r="E27" i="16" a="1"/>
  <c r="E27" i="16" s="1"/>
  <c r="E14" i="16" a="1"/>
  <c r="E14" i="16" s="1"/>
  <c r="E109" i="16" a="1"/>
  <c r="E109" i="16" s="1"/>
  <c r="E97" i="16" a="1"/>
  <c r="E97" i="16" s="1"/>
  <c r="E80" i="16" a="1"/>
  <c r="E80" i="16" s="1"/>
  <c r="E67" i="16" a="1"/>
  <c r="E67" i="16" s="1"/>
  <c r="E55" i="16" a="1"/>
  <c r="E55" i="16" s="1"/>
  <c r="E38" i="16" a="1"/>
  <c r="E38" i="16" s="1"/>
  <c r="E26" i="16" a="1"/>
  <c r="E26" i="16" s="1"/>
  <c r="E13" i="16" a="1"/>
  <c r="E13" i="16" s="1"/>
  <c r="E108" i="16" a="1"/>
  <c r="E108" i="16" s="1"/>
  <c r="E54" i="16" a="1"/>
  <c r="E54" i="16" s="1"/>
  <c r="E107" i="16" a="1"/>
  <c r="E107" i="16" s="1"/>
  <c r="E65" i="16" a="1"/>
  <c r="E65" i="16" s="1"/>
  <c r="E23" i="16" a="1"/>
  <c r="E23" i="16" s="1"/>
  <c r="E106" i="16" a="1"/>
  <c r="E106" i="16" s="1"/>
  <c r="E64" i="16" a="1"/>
  <c r="E64" i="16" s="1"/>
  <c r="E35" i="16" a="1"/>
  <c r="E35" i="16" s="1"/>
  <c r="E10" i="16" a="1"/>
  <c r="E10" i="16" s="1"/>
  <c r="E89" i="16" a="1"/>
  <c r="E89" i="16" s="1"/>
  <c r="E63" i="16" a="1"/>
  <c r="E63" i="16" s="1"/>
  <c r="E34" i="16" a="1"/>
  <c r="E34" i="16" s="1"/>
  <c r="E104" i="16" a="1"/>
  <c r="E104" i="16" s="1"/>
  <c r="E74" i="16" a="1"/>
  <c r="E74" i="16" s="1"/>
  <c r="E50" i="16" a="1"/>
  <c r="E50" i="16" s="1"/>
  <c r="E8" i="16" a="1"/>
  <c r="E8" i="16" s="1"/>
  <c r="E103" i="16" a="1"/>
  <c r="E103" i="16" s="1"/>
  <c r="E49" i="16" a="1"/>
  <c r="E49" i="16" s="1"/>
  <c r="E7" i="16" a="1"/>
  <c r="E7" i="16" s="1"/>
  <c r="E86" i="16" a="1"/>
  <c r="E86" i="16" s="1"/>
  <c r="E60" i="16" a="1"/>
  <c r="E60" i="16" s="1"/>
  <c r="E31" i="16" a="1"/>
  <c r="E31" i="16" s="1"/>
  <c r="E114" i="16" a="1"/>
  <c r="E114" i="16" s="1"/>
  <c r="E85" i="16" a="1"/>
  <c r="E85" i="16" s="1"/>
  <c r="E59" i="16" a="1"/>
  <c r="E59" i="16" s="1"/>
  <c r="E47" i="16" a="1"/>
  <c r="E47" i="16" s="1"/>
  <c r="E30" i="16" a="1"/>
  <c r="E30" i="16" s="1"/>
  <c r="E17" i="16" a="1"/>
  <c r="E17" i="16" s="1"/>
  <c r="AA2" i="16"/>
  <c r="F114" i="16" a="1"/>
  <c r="F63" i="16" a="1"/>
  <c r="F114" i="16" l="1"/>
  <c r="G114" i="16" s="1"/>
  <c r="F63" i="16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46" i="16" a="1"/>
  <c r="F98" i="16" a="1"/>
  <c r="F55" i="16" a="1"/>
  <c r="F31" i="16" a="1"/>
  <c r="F86" i="16" a="1"/>
  <c r="F76" i="16" a="1"/>
  <c r="F28" i="16" a="1"/>
  <c r="F45" i="16" a="1"/>
  <c r="F83" i="16" a="1"/>
  <c r="F57" i="16" a="1"/>
  <c r="F14" i="16" a="1"/>
  <c r="F61" i="16" a="1"/>
  <c r="F26" i="16" a="1"/>
  <c r="F27" i="16" a="1"/>
  <c r="F54" i="16" a="1"/>
  <c r="F67" i="16" a="1"/>
  <c r="F29" i="16" a="1"/>
  <c r="F8" i="16" a="1"/>
  <c r="F15" i="16" a="1"/>
  <c r="F78" i="16" a="1"/>
  <c r="F91" i="16" a="1"/>
  <c r="F74" i="16" a="1"/>
  <c r="F72" i="16" a="1"/>
  <c r="F92" i="16" a="1"/>
  <c r="F80" i="16" a="1"/>
  <c r="F88" i="16" a="1"/>
  <c r="F71" i="16" a="1"/>
  <c r="F39" i="16" a="1"/>
  <c r="F60" i="16" a="1"/>
  <c r="F85" i="16" a="1"/>
  <c r="F47" i="16" a="1"/>
  <c r="F68" i="16" a="1"/>
  <c r="F87" i="16" a="1"/>
  <c r="F59" i="16" a="1"/>
  <c r="F62" i="16" a="1"/>
  <c r="F49" i="16" a="1"/>
  <c r="F16" i="16" a="1"/>
  <c r="F38" i="16" a="1"/>
  <c r="F30" i="16" a="1"/>
  <c r="F48" i="16" a="1"/>
  <c r="F96" i="16" a="1"/>
  <c r="F56" i="16" a="1"/>
  <c r="F66" i="16" a="1"/>
  <c r="F7" i="16" a="1"/>
  <c r="F9" i="16" a="1"/>
  <c r="F50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A159" i="15" l="1"/>
  <c r="A168" i="15"/>
  <c r="A159" i="14"/>
  <c r="A168" i="14"/>
  <c r="A159" i="13"/>
  <c r="A168" i="13"/>
  <c r="G57" i="16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A168" i="2" s="1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A43199AD-5447-4EDA-996B-F76FE81FB5CF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AFC2DC76-C4B0-4B3D-9EB7-C1C5D7A60861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<sst xmlns="http://schemas.openxmlformats.org/spreadsheetml/2006/main" count="2019" uniqueCount="416">
  <si>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</si>
  <si>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</si>
  <si>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</si>
  <si>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</si>
  <si>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</si>
  <si>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</si>
  <si>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</si>
  <si>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</si>
  <si>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</si>
  <si>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</si>
  <si>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</si>
  <si>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</si>
  <si>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</si>
  <si>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</si>
  <si>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</si>
  <si>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</si>
  <si>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</si>
  <si>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</si>
  <si>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</si>
  <si>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</si>
  <si>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</si>
  <si>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</si>
  <si>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</si>
  <si>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</si>
  <si>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</si>
  <si>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</si>
  <si>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</si>
  <si>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</si>
  <si>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</si>
  <si>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</si>
  <si>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</si>
  <si>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</si>
  <si>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</si>
  <si>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</si>
  <si>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</si>
  <si>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</si>
  <si>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</si>
  <si>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</si>
  <si>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</si>
  <si>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</si>
  <si>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</si>
  <si>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</si>
  <si>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</si>
  <si>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</si>
  <si>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</si>
  <si>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</si>
  <si>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</si>
  <si>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</si>
  <si>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</si>
  <si>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</si>
  <si>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</si>
  <si>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</si>
  <si>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</si>
  <si>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</si>
  <si>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</si>
  <si>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</si>
  <si>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</si>
  <si>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</si>
  <si>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</si>
  <si>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</si>
  <si>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</si>
  <si>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</si>
  <si>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</si>
  <si>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</si>
  <si>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</si>
  <si>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</si>
  <si>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</si>
  <si>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</si>
  <si>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</si>
  <si>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</si>
  <si>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</si>
  <si>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</si>
  <si>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</si>
  <si>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</si>
  <si>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</si>
  <si>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</si>
  <si>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</si>
  <si>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</si>
  <si>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</si>
  <si>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</si>
  <si>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</si>
  <si>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</si>
  <si>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</si>
  <si>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</si>
  <si>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</si>
  <si>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</si>
  <si>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</si>
  <si>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</si>
  <si>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</si>
  <si>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</si>
  <si>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</si>
  <si>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</si>
  <si>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</si>
  <si>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</si>
  <si>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</si>
  <si>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</si>
  <si>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</si>
  <si>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</si>
  <si>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</si>
  <si>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</si>
  <si>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</si>
  <si>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</si>
  <si>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</si>
  <si>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</si>
  <si>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</si>
  <si>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</si>
  <si>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</si>
  <si>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</si>
  <si>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</si>
  <si>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</si>
  <si>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</si>
  <si>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</si>
  <si>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</si>
  <si>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</si>
  <si>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</si>
  <si>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</si>
  <si>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</si>
  <si>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</si>
  <si>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</si>
  <si>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</si>
  <si>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</si>
  <si>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</si>
  <si>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</si>
  <si>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</si>
  <si>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</si>
  <si>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</si>
  <si>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</si>
  <si>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</si>
  <si>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</si>
  <si>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</si>
  <si>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</si>
  <si>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</si>
  <si>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</si>
  <si>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</si>
  <si>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</si>
  <si>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</si>
  <si>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</si>
  <si>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</si>
  <si>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</si>
  <si>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</si>
  <si>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</si>
  <si>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</si>
  <si>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</si>
  <si>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</si>
  <si>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</si>
  <si>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</si>
  <si>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</si>
  <si>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</si>
  <si>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</si>
  <si>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</si>
  <si>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</si>
  <si>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</si>
  <si>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</si>
  <si>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</si>
  <si>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</si>
  <si>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</si>
  <si>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</si>
  <si>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</si>
  <si>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</si>
  <si>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</si>
  <si>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</si>
  <si>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</si>
  <si>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</si>
  <si>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</si>
  <si>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</si>
  <si>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</si>
  <si>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</si>
  <si>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</si>
  <si>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</si>
  <si>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</si>
  <si>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</si>
  <si>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</si>
  <si>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</si>
  <si>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</si>
  <si>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</si>
  <si>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</si>
  <si>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</si>
  <si>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</si>
  <si>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</si>
  <si>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</si>
  <si>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</si>
  <si>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</si>
  <si>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</si>
  <si>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</si>
  <si>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</si>
  <si>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</si>
  <si>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</si>
  <si>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</si>
  <si>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</si>
  <si>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</si>
  <si>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</si>
  <si>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</si>
  <si>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</si>
  <si>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</si>
  <si>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</si>
  <si>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</si>
  <si>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</si>
  <si>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</si>
  <si>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</si>
  <si>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</si>
  <si>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</si>
  <si>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</si>
  <si>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</si>
  <si>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</si>
  <si>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</si>
  <si>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</si>
  <si>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</si>
  <si>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</si>
  <si>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</si>
  <si>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</si>
  <si>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</si>
  <si>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</si>
  <si>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</si>
  <si>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</si>
  <si>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</si>
  <si>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</si>
  <si>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</si>
  <si>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</si>
  <si>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</si>
  <si>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</si>
  <si>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</si>
  <si>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</si>
  <si>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</si>
  <si>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</si>
  <si>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</si>
  <si>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</si>
  <si>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</si>
  <si>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</si>
  <si>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</si>
  <si>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</si>
  <si>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</si>
  <si>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</si>
  <si>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</si>
  <si>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</si>
  <si>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</si>
  <si>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</si>
  <si>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</si>
  <si>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</si>
  <si>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</si>
  <si>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</si>
  <si>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</si>
  <si>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</si>
  <si>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</si>
  <si>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</si>
  <si>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</si>
  <si>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</si>
  <si>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</si>
  <si>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</si>
  <si>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</si>
  <si>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</si>
  <si>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</si>
  <si>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</si>
  <si>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</si>
  <si>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</si>
  <si>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</si>
  <si>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</si>
  <si>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</si>
  <si>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</si>
  <si>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</si>
  <si>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</si>
  <si>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</si>
  <si>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</si>
  <si>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</si>
  <si>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</si>
  <si>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</si>
  <si>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</si>
  <si>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</si>
  <si>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</si>
  <si>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</si>
  <si>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</si>
  <si>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</si>
  <si>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</si>
  <si>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</si>
  <si>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</si>
  <si>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</si>
  <si>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</si>
  <si>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</si>
  <si>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</si>
  <si>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</si>
  <si>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</si>
  <si>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</si>
  <si>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</si>
  <si>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</si>
  <si>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</si>
  <si>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</si>
  <si>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</si>
  <si>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</si>
  <si>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</si>
  <si>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</si>
  <si>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</si>
  <si>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</si>
  <si>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</si>
  <si>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</si>
  <si>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</si>
  <si>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</si>
  <si>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</si>
  <si>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</si>
  <si>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</si>
  <si>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</si>
  <si>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</si>
  <si>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</si>
  <si>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</si>
  <si>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</si>
  <si>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</si>
  <si>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</si>
  <si>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</si>
  <si>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</si>
  <si>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</si>
  <si>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</si>
  <si>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</si>
  <si>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</si>
  <si>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</si>
  <si>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</si>
  <si>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</si>
  <si>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</si>
  <si>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</si>
  <si>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</si>
  <si>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</si>
  <si>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</si>
  <si>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</si>
  <si>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</si>
  <si>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</si>
  <si>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</si>
  <si>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</si>
  <si>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</si>
  <si>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</si>
  <si>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</si>
  <si>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</si>
  <si>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</si>
  <si>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</si>
  <si>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</si>
  <si>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</si>
  <si>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</si>
  <si>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</si>
  <si>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</si>
  <si>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</si>
  <si>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</si>
  <si>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</si>
  <si>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</si>
  <si>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</si>
  <si>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</si>
  <si>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</si>
  <si>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</si>
  <si>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</si>
  <si>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</si>
  <si>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</si>
  <si>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</si>
  <si>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</si>
  <si>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</si>
  <si>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</si>
  <si>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</si>
  <si>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</si>
  <si>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</si>
  <si>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</si>
  <si>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</si>
  <si>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</si>
  <si>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</si>
  <si>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</si>
  <si>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</si>
  <si>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</si>
  <si>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</si>
  <si>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</si>
  <si>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</si>
  <si>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</si>
  <si>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</si>
  <si>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</si>
  <si>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</si>
  <si>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</si>
  <si>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</si>
  <si>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</si>
  <si>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</si>
  <si>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</si>
  <si>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</si>
  <si>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</si>
  <si>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</si>
  <si>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</si>
  <si>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</si>
  <si>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</si>
  <si>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</si>
  <si>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</si>
  <si>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</si>
  <si>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</si>
  <si>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</si>
  <si>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</si>
  <si>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</si>
  <si>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</si>
  <si>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</si>
  <si>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</si>
  <si>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</si>
  <si>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</si>
  <si>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</si>
  <si>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</si>
  <si>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</si>
  <si>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</si>
  <si>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</si>
  <si>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</si>
  <si>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</si>
  <si>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</si>
  <si>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</si>
  <si>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</si>
  <si>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</si>
  <si>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</si>
  <si>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</si>
  <si>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</si>
  <si>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</si>
  <si>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</si>
  <si>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</si>
  <si>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</si>
  <si>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</si>
  <si>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</si>
  <si>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</si>
  <si>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Inclination used: 0.00deg</t>
  </si>
  <si>
    <t>Design value capped to 90% Fp,C*: Yes</t>
  </si>
  <si>
    <t>Fatigue</t>
  </si>
  <si>
    <t>Cumulated damage:</t>
  </si>
  <si>
    <t>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</si>
</sst>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8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9">
    <xf numFmtId="0" fontId="0" fillId="0" borderId="0"/>
    <xf numFmtId="0" fontId="7" fillId="0" borderId="0"/>
    <xf numFmtId="0" fontId="6" fillId="0" borderId="0"/>
    <xf numFmtId="9" fontId="44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89">
    <xf numFmtId="0" fontId="0" fillId="0" borderId="0" xfId="0"/>
    <xf numFmtId="0" fontId="8" fillId="2" borderId="0" xfId="1" applyFont="1" applyFill="1" applyAlignment="1">
      <alignment vertical="center"/>
    </xf>
    <xf numFmtId="0" fontId="9" fillId="2" borderId="0" xfId="1" applyFont="1" applyFill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0" fillId="3" borderId="1" xfId="1" applyFont="1" applyFill="1" applyBorder="1" applyAlignment="1">
      <alignment horizontal="left" vertical="center"/>
    </xf>
    <xf numFmtId="2" fontId="11" fillId="3" borderId="1" xfId="1" applyNumberFormat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right" vertical="center"/>
    </xf>
    <xf numFmtId="0" fontId="13" fillId="3" borderId="1" xfId="1" applyFont="1" applyFill="1" applyBorder="1" applyAlignment="1">
      <alignment horizontal="left" vertical="center"/>
    </xf>
    <xf numFmtId="0" fontId="14" fillId="3" borderId="0" xfId="1" applyFont="1" applyFill="1" applyAlignment="1">
      <alignment horizontal="right" vertical="center"/>
    </xf>
    <xf numFmtId="0" fontId="10" fillId="3" borderId="2" xfId="1" applyFont="1" applyFill="1" applyBorder="1" applyAlignment="1">
      <alignment horizontal="right" vertical="center"/>
    </xf>
    <xf numFmtId="0" fontId="13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/>
    </xf>
    <xf numFmtId="2" fontId="16" fillId="3" borderId="4" xfId="1" applyNumberFormat="1" applyFont="1" applyFill="1" applyBorder="1" applyAlignment="1">
      <alignment horizontal="center"/>
    </xf>
    <xf numFmtId="0" fontId="17" fillId="3" borderId="4" xfId="1" applyFont="1" applyFill="1" applyBorder="1" applyAlignment="1">
      <alignment horizontal="left"/>
    </xf>
    <xf numFmtId="0" fontId="10" fillId="3" borderId="5" xfId="1" applyFont="1" applyFill="1" applyBorder="1" applyAlignment="1">
      <alignment horizontal="left" vertical="center"/>
    </xf>
    <xf numFmtId="0" fontId="10" fillId="3" borderId="5" xfId="1" applyFont="1" applyFill="1" applyBorder="1" applyAlignment="1">
      <alignment horizontal="right" vertical="center"/>
    </xf>
    <xf numFmtId="0" fontId="13" fillId="3" borderId="5" xfId="1" applyFont="1" applyFill="1" applyBorder="1" applyAlignment="1">
      <alignment horizontal="left" vertical="center"/>
    </xf>
    <xf numFmtId="0" fontId="8" fillId="2" borderId="0" xfId="1" applyFont="1" applyFill="1" applyAlignment="1">
      <alignment vertical="center" wrapText="1"/>
    </xf>
    <xf numFmtId="0" fontId="18" fillId="4" borderId="0" xfId="1" applyFont="1" applyFill="1" applyAlignment="1">
      <alignment horizontal="left" vertical="top" wrapText="1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9" fillId="0" borderId="7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8" fillId="4" borderId="0" xfId="1" applyFont="1" applyFill="1" applyAlignment="1">
      <alignment vertical="top" wrapText="1"/>
    </xf>
    <xf numFmtId="0" fontId="19" fillId="0" borderId="11" xfId="1" applyFont="1" applyBorder="1" applyAlignment="1">
      <alignment vertical="center" wrapText="1"/>
    </xf>
    <xf numFmtId="0" fontId="19" fillId="0" borderId="12" xfId="1" applyFont="1" applyBorder="1" applyAlignment="1">
      <alignment vertical="center" wrapText="1"/>
    </xf>
    <xf numFmtId="0" fontId="19" fillId="0" borderId="13" xfId="1" applyFont="1" applyBorder="1" applyAlignment="1">
      <alignment vertical="center" wrapText="1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16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17" xfId="1" applyFont="1" applyBorder="1" applyAlignment="1">
      <alignment vertical="center"/>
    </xf>
    <xf numFmtId="0" fontId="20" fillId="2" borderId="0" xfId="1" applyFont="1" applyFill="1"/>
    <xf numFmtId="0" fontId="18" fillId="0" borderId="0" xfId="1" applyFont="1" applyAlignment="1">
      <alignment vertical="top" wrapText="1"/>
    </xf>
    <xf numFmtId="2" fontId="21" fillId="3" borderId="18" xfId="1" applyNumberFormat="1" applyFont="1" applyFill="1" applyBorder="1" applyAlignment="1">
      <alignment horizontal="left"/>
    </xf>
    <xf numFmtId="0" fontId="21" fillId="3" borderId="18" xfId="1" applyFont="1" applyFill="1" applyBorder="1" applyAlignment="1">
      <alignment horizontal="left"/>
    </xf>
    <xf numFmtId="0" fontId="22" fillId="2" borderId="0" xfId="1" applyFont="1" applyFill="1" applyAlignment="1">
      <alignment horizontal="center" vertical="center"/>
    </xf>
    <xf numFmtId="0" fontId="23" fillId="2" borderId="0" xfId="1" applyFont="1" applyFill="1" applyAlignment="1">
      <alignment horizontal="right" vertical="center"/>
    </xf>
    <xf numFmtId="0" fontId="24" fillId="2" borderId="0" xfId="1" applyFont="1" applyFill="1" applyAlignment="1">
      <alignment vertical="center"/>
    </xf>
    <xf numFmtId="0" fontId="25" fillId="2" borderId="0" xfId="1" applyFont="1" applyFill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0" fontId="27" fillId="2" borderId="19" xfId="1" applyFont="1" applyFill="1" applyBorder="1" applyAlignment="1">
      <alignment horizontal="center" vertical="center"/>
    </xf>
    <xf numFmtId="14" fontId="27" fillId="2" borderId="19" xfId="1" applyNumberFormat="1" applyFont="1" applyFill="1" applyBorder="1" applyAlignment="1">
      <alignment horizontal="center" vertical="center"/>
    </xf>
    <xf numFmtId="49" fontId="26" fillId="2" borderId="19" xfId="1" applyNumberFormat="1" applyFont="1" applyFill="1" applyBorder="1" applyAlignment="1">
      <alignment horizontal="center" vertical="center"/>
    </xf>
    <xf numFmtId="0" fontId="26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 vertical="center"/>
    </xf>
    <xf numFmtId="0" fontId="30" fillId="2" borderId="0" xfId="1" applyFont="1" applyFill="1" applyAlignment="1">
      <alignment horizontal="right" vertical="center"/>
    </xf>
    <xf numFmtId="0" fontId="30" fillId="2" borderId="0" xfId="1" applyFont="1" applyFill="1" applyAlignment="1">
      <alignment vertical="center"/>
    </xf>
    <xf numFmtId="0" fontId="28" fillId="2" borderId="0" xfId="1" applyFont="1" applyFill="1" applyAlignment="1">
      <alignment vertical="center"/>
    </xf>
    <xf numFmtId="0" fontId="8" fillId="2" borderId="23" xfId="1" applyFont="1" applyFill="1" applyBorder="1" applyAlignment="1">
      <alignment vertical="center"/>
    </xf>
    <xf numFmtId="49" fontId="22" fillId="2" borderId="23" xfId="1" applyNumberFormat="1" applyFont="1" applyFill="1" applyBorder="1" applyAlignment="1">
      <alignment horizontal="center" vertical="center"/>
    </xf>
    <xf numFmtId="0" fontId="23" fillId="2" borderId="23" xfId="1" applyFont="1" applyFill="1" applyBorder="1" applyAlignment="1">
      <alignment horizontal="right" vertical="center"/>
    </xf>
    <xf numFmtId="0" fontId="9" fillId="2" borderId="23" xfId="1" applyFont="1" applyFill="1" applyBorder="1" applyAlignment="1">
      <alignment vertical="center"/>
    </xf>
    <xf numFmtId="0" fontId="24" fillId="2" borderId="23" xfId="1" applyFont="1" applyFill="1" applyBorder="1" applyAlignment="1">
      <alignment vertical="center"/>
    </xf>
    <xf numFmtId="0" fontId="9" fillId="2" borderId="24" xfId="1" applyFont="1" applyFill="1" applyBorder="1" applyAlignment="1">
      <alignment vertical="center"/>
    </xf>
    <xf numFmtId="0" fontId="13" fillId="3" borderId="0" xfId="1" applyFont="1" applyFill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10" fillId="3" borderId="0" xfId="1" applyFont="1" applyFill="1" applyAlignment="1">
      <alignment horizontal="left" vertical="center"/>
    </xf>
    <xf numFmtId="0" fontId="11" fillId="3" borderId="1" xfId="1" applyFont="1" applyFill="1" applyBorder="1" applyAlignment="1">
      <alignment horizontal="center" vertical="center"/>
    </xf>
    <xf numFmtId="164" fontId="11" fillId="3" borderId="1" xfId="1" applyNumberFormat="1" applyFont="1" applyFill="1" applyBorder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164" fontId="11" fillId="3" borderId="5" xfId="1" applyNumberFormat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165" fontId="11" fillId="3" borderId="1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" fontId="11" fillId="3" borderId="5" xfId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vertical="center" wrapText="1"/>
    </xf>
    <xf numFmtId="0" fontId="8" fillId="2" borderId="0" xfId="1" applyFont="1" applyFill="1" applyAlignment="1">
      <alignment horizontal="right" vertical="center"/>
    </xf>
    <xf numFmtId="0" fontId="8" fillId="2" borderId="25" xfId="1" applyFont="1" applyFill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15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5" fillId="3" borderId="0" xfId="1" applyFont="1" applyFill="1" applyAlignment="1">
      <alignment horizontal="left" indent="2"/>
    </xf>
    <xf numFmtId="1" fontId="13" fillId="3" borderId="25" xfId="1" applyNumberFormat="1" applyFont="1" applyFill="1" applyBorder="1" applyAlignment="1">
      <alignment horizontal="center" vertical="center"/>
    </xf>
    <xf numFmtId="1" fontId="33" fillId="6" borderId="25" xfId="1" applyNumberFormat="1" applyFont="1" applyFill="1" applyBorder="1" applyAlignment="1">
      <alignment horizontal="center" vertical="center"/>
    </xf>
    <xf numFmtId="0" fontId="33" fillId="6" borderId="25" xfId="1" applyFont="1" applyFill="1" applyBorder="1" applyAlignment="1">
      <alignment horizontal="center" vertical="center"/>
    </xf>
    <xf numFmtId="164" fontId="13" fillId="3" borderId="25" xfId="1" applyNumberFormat="1" applyFont="1" applyFill="1" applyBorder="1" applyAlignment="1">
      <alignment horizontal="center" vertical="center"/>
    </xf>
    <xf numFmtId="11" fontId="13" fillId="3" borderId="25" xfId="1" applyNumberFormat="1" applyFont="1" applyFill="1" applyBorder="1" applyAlignment="1">
      <alignment horizontal="center" vertical="center"/>
    </xf>
    <xf numFmtId="0" fontId="37" fillId="3" borderId="1" xfId="1" applyFont="1" applyFill="1" applyBorder="1" applyAlignment="1">
      <alignment horizontal="right" vertical="center"/>
    </xf>
    <xf numFmtId="0" fontId="36" fillId="3" borderId="1" xfId="1" applyFont="1" applyFill="1" applyBorder="1" applyAlignment="1">
      <alignment horizontal="right" vertical="center"/>
    </xf>
    <xf numFmtId="0" fontId="37" fillId="3" borderId="5" xfId="1" applyFont="1" applyFill="1" applyBorder="1" applyAlignment="1">
      <alignment horizontal="right" vertical="center"/>
    </xf>
    <xf numFmtId="165" fontId="11" fillId="3" borderId="5" xfId="1" applyNumberFormat="1" applyFont="1" applyFill="1" applyBorder="1" applyAlignment="1">
      <alignment horizontal="center" vertical="center"/>
    </xf>
    <xf numFmtId="0" fontId="8" fillId="2" borderId="0" xfId="2" applyFont="1" applyFill="1" applyAlignment="1">
      <alignment vertical="center"/>
    </xf>
    <xf numFmtId="0" fontId="8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14" fontId="8" fillId="2" borderId="0" xfId="2" applyNumberFormat="1" applyFont="1" applyFill="1" applyAlignment="1">
      <alignment vertical="center"/>
    </xf>
    <xf numFmtId="0" fontId="19" fillId="0" borderId="26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27" xfId="1" applyFont="1" applyBorder="1" applyAlignment="1">
      <alignment horizontal="center" vertical="center" wrapText="1"/>
    </xf>
    <xf numFmtId="164" fontId="11" fillId="3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 wrapText="1"/>
    </xf>
    <xf numFmtId="0" fontId="15" fillId="3" borderId="0" xfId="1" applyFont="1" applyFill="1" applyAlignment="1">
      <alignment horizontal="left" wrapText="1" indent="2"/>
    </xf>
    <xf numFmtId="164" fontId="11" fillId="3" borderId="0" xfId="1" applyNumberFormat="1" applyFont="1" applyFill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" fontId="11" fillId="3" borderId="1" xfId="1" applyNumberFormat="1" applyFont="1" applyFill="1" applyBorder="1" applyAlignment="1">
      <alignment horizontal="center" vertical="center"/>
    </xf>
    <xf numFmtId="0" fontId="40" fillId="4" borderId="0" xfId="1" applyFont="1" applyFill="1" applyAlignment="1">
      <alignment vertical="center"/>
    </xf>
    <xf numFmtId="0" fontId="41" fillId="4" borderId="0" xfId="1" applyFont="1" applyFill="1" applyAlignment="1">
      <alignment horizontal="center" vertical="center"/>
    </xf>
    <xf numFmtId="0" fontId="42" fillId="4" borderId="0" xfId="1" applyFont="1" applyFill="1" applyAlignment="1">
      <alignment horizontal="center" vertical="center"/>
    </xf>
    <xf numFmtId="164" fontId="40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5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7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8" fillId="0" borderId="29" xfId="0" applyFont="1" applyBorder="1" applyAlignment="1">
      <alignment horizontal="center"/>
    </xf>
    <xf numFmtId="0" fontId="48" fillId="0" borderId="0" xfId="0" applyFont="1"/>
    <xf numFmtId="168" fontId="0" fillId="7" borderId="0" xfId="3" applyNumberFormat="1" applyFont="1" applyFill="1" applyAlignment="1">
      <alignment horizontal="center"/>
    </xf>
    <xf numFmtId="0" fontId="8" fillId="4" borderId="0" xfId="1" applyFont="1" applyFill="1" applyAlignment="1">
      <alignment vertical="center"/>
    </xf>
    <xf numFmtId="164" fontId="40" fillId="4" borderId="25" xfId="1" applyNumberFormat="1" applyFont="1" applyFill="1" applyBorder="1" applyAlignment="1">
      <alignment horizontal="center" vertical="center"/>
    </xf>
    <xf numFmtId="164" fontId="43" fillId="4" borderId="25" xfId="1" applyNumberFormat="1" applyFont="1" applyFill="1" applyBorder="1" applyAlignment="1">
      <alignment horizontal="center" vertical="center"/>
    </xf>
    <xf numFmtId="169" fontId="43" fillId="4" borderId="28" xfId="1" applyNumberFormat="1" applyFont="1" applyFill="1" applyBorder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4" fontId="43" fillId="4" borderId="0" xfId="1" applyNumberFormat="1" applyFont="1" applyFill="1" applyAlignment="1">
      <alignment horizontal="center" vertical="center"/>
    </xf>
    <xf numFmtId="165" fontId="11" fillId="3" borderId="0" xfId="1" applyNumberFormat="1" applyFont="1" applyFill="1" applyAlignment="1">
      <alignment horizontal="center" vertical="center"/>
    </xf>
    <xf numFmtId="0" fontId="15" fillId="3" borderId="0" xfId="1" applyFont="1" applyFill="1" applyAlignment="1">
      <alignment horizontal="left"/>
    </xf>
    <xf numFmtId="0" fontId="11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9" fillId="7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167" fontId="19" fillId="0" borderId="0" xfId="0" applyNumberFormat="1" applyFont="1" applyAlignment="1">
      <alignment horizontal="center"/>
    </xf>
    <xf numFmtId="0" fontId="19" fillId="0" borderId="0" xfId="0" applyFont="1"/>
    <xf numFmtId="0" fontId="8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3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1" fillId="3" borderId="1" xfId="1" applyNumberFormat="1" applyFont="1" applyFill="1" applyBorder="1" applyAlignment="1">
      <alignment horizontal="center" vertical="center"/>
    </xf>
    <xf numFmtId="2" fontId="11" fillId="3" borderId="5" xfId="1" applyNumberFormat="1" applyFont="1" applyFill="1" applyBorder="1" applyAlignment="1">
      <alignment horizontal="center" vertical="center"/>
    </xf>
    <xf numFmtId="0" fontId="58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4" fillId="0" borderId="0" xfId="0" applyFont="1"/>
    <xf numFmtId="0" fontId="44" fillId="0" borderId="0" xfId="5" applyFont="1" applyAlignment="1">
      <alignment horizontal="right"/>
    </xf>
    <xf numFmtId="0" fontId="57" fillId="0" borderId="0" xfId="5" applyFont="1" applyAlignment="1">
      <alignment horizontal="center"/>
    </xf>
    <xf numFmtId="174" fontId="0" fillId="0" borderId="0" xfId="0" applyNumberFormat="1"/>
    <xf numFmtId="0" fontId="19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8" fillId="0" borderId="0" xfId="0" applyFont="1" applyAlignment="1">
      <alignment horizontal="right" vertical="center"/>
    </xf>
    <xf numFmtId="0" fontId="48" fillId="0" borderId="0" xfId="0" applyFont="1" applyAlignment="1">
      <alignment vertical="center"/>
    </xf>
    <xf numFmtId="0" fontId="55" fillId="0" borderId="25" xfId="0" applyFont="1" applyBorder="1" applyAlignment="1">
      <alignment horizontal="center" vertical="center"/>
    </xf>
    <xf numFmtId="0" fontId="66" fillId="0" borderId="25" xfId="0" applyFont="1" applyBorder="1" applyAlignment="1">
      <alignment horizontal="center" vertical="center"/>
    </xf>
    <xf numFmtId="0" fontId="54" fillId="8" borderId="30" xfId="0" applyFont="1" applyFill="1" applyBorder="1" applyAlignment="1">
      <alignment horizontal="center" vertical="center"/>
    </xf>
    <xf numFmtId="0" fontId="48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168" fontId="57" fillId="7" borderId="25" xfId="3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44" fillId="0" borderId="0" xfId="7" applyFont="1" applyAlignment="1">
      <alignment horizontal="right"/>
    </xf>
    <xf numFmtId="0" fontId="57" fillId="0" borderId="0" xfId="7" applyFont="1" applyAlignment="1">
      <alignment horizontal="center"/>
    </xf>
    <xf numFmtId="0" fontId="60" fillId="5" borderId="0" xfId="7" applyFont="1" applyFill="1" applyAlignment="1">
      <alignment horizontal="center"/>
    </xf>
    <xf numFmtId="0" fontId="60" fillId="5" borderId="0" xfId="7" applyFont="1" applyFill="1"/>
    <xf numFmtId="0" fontId="61" fillId="0" borderId="29" xfId="7" applyFont="1" applyBorder="1" applyAlignment="1">
      <alignment horizontal="center" vertical="top" wrapText="1"/>
    </xf>
    <xf numFmtId="0" fontId="61" fillId="0" borderId="0" xfId="7" applyFont="1" applyAlignment="1">
      <alignment horizontal="center" vertical="top" wrapText="1"/>
    </xf>
    <xf numFmtId="0" fontId="60" fillId="0" borderId="0" xfId="7" applyFont="1" applyAlignment="1">
      <alignment horizontal="center"/>
    </xf>
    <xf numFmtId="0" fontId="60" fillId="0" borderId="0" xfId="7" applyFont="1"/>
    <xf numFmtId="0" fontId="57" fillId="0" borderId="0" xfId="7" applyFont="1" applyAlignment="1">
      <alignment horizontal="right"/>
    </xf>
    <xf numFmtId="0" fontId="18" fillId="5" borderId="10" xfId="1" applyFont="1" applyFill="1" applyBorder="1" applyAlignment="1">
      <alignment horizontal="center" vertical="center" wrapText="1"/>
    </xf>
    <xf numFmtId="0" fontId="18" fillId="5" borderId="0" xfId="1" applyFont="1" applyFill="1" applyAlignment="1">
      <alignment horizontal="center" vertical="center" wrapText="1"/>
    </xf>
    <xf numFmtId="0" fontId="18" fillId="5" borderId="9" xfId="1" applyFont="1" applyFill="1" applyBorder="1" applyAlignment="1">
      <alignment horizontal="center" vertical="center" wrapText="1"/>
    </xf>
    <xf numFmtId="0" fontId="29" fillId="2" borderId="0" xfId="1" applyFont="1" applyFill="1" applyAlignment="1">
      <alignment horizontal="left" vertical="top" wrapText="1"/>
    </xf>
    <xf numFmtId="0" fontId="29" fillId="2" borderId="0" xfId="1" applyFont="1" applyFill="1" applyAlignment="1">
      <alignment horizontal="left" vertical="top"/>
    </xf>
    <xf numFmtId="0" fontId="28" fillId="2" borderId="6" xfId="1" applyFont="1" applyFill="1" applyBorder="1" applyAlignment="1">
      <alignment horizontal="center"/>
    </xf>
    <xf numFmtId="0" fontId="26" fillId="2" borderId="22" xfId="1" applyFont="1" applyFill="1" applyBorder="1" applyAlignment="1">
      <alignment horizontal="left" vertical="center"/>
    </xf>
    <xf numFmtId="0" fontId="26" fillId="2" borderId="21" xfId="1" applyFont="1" applyFill="1" applyBorder="1" applyAlignment="1">
      <alignment horizontal="left" vertical="center"/>
    </xf>
    <xf numFmtId="0" fontId="26" fillId="2" borderId="20" xfId="1" applyFont="1" applyFill="1" applyBorder="1" applyAlignment="1">
      <alignment horizontal="left" vertical="center"/>
    </xf>
    <xf numFmtId="0" fontId="39" fillId="3" borderId="1" xfId="2" applyFont="1" applyFill="1" applyBorder="1" applyAlignment="1">
      <alignment horizontal="left" vertical="center"/>
    </xf>
    <xf numFmtId="14" fontId="13" fillId="3" borderId="1" xfId="2" applyNumberFormat="1" applyFont="1" applyFill="1" applyBorder="1" applyAlignment="1">
      <alignment horizontal="left" vertical="center" shrinkToFit="1"/>
    </xf>
    <xf numFmtId="0" fontId="13" fillId="3" borderId="1" xfId="2" applyFont="1" applyFill="1" applyBorder="1" applyAlignment="1">
      <alignment horizontal="left" vertical="center"/>
    </xf>
    <xf numFmtId="0" fontId="13" fillId="3" borderId="1" xfId="2" quotePrefix="1" applyFont="1" applyFill="1" applyBorder="1" applyAlignment="1">
      <alignment horizontal="left" vertical="center"/>
    </xf>
    <xf numFmtId="165" fontId="11" fillId="3" borderId="2" xfId="1" applyNumberFormat="1" applyFont="1" applyFill="1" applyBorder="1" applyAlignment="1">
      <alignment horizontal="center" vertical="center"/>
    </xf>
  </cellXfs>
  <cellStyles count="9">
    <cellStyle name="Normal" xfId="0" builtinId="0"/>
    <cellStyle name="Normal 2" xfId="1" xr:uid="{441ACF27-160B-4F68-B601-75E0F5333046}"/>
    <cellStyle name="Normal 3" xfId="2" xr:uid="{E743A38D-16A7-497B-BF78-6D533003511F}"/>
    <cellStyle name="Per cent" xfId="3" builtinId="5"/>
    <cellStyle name="Standard 2" xfId="4" xr:uid="{8EDAC5BA-93D2-4133-8B1C-A233865E32C9}"/>
    <cellStyle name="Standard 2 2" xfId="5" xr:uid="{F03A5C3A-BFB2-4DCC-BC18-6D8CB2B8C217}"/>
    <cellStyle name="Standard 2 3" xfId="6" xr:uid="{20FFBE33-F8FD-4507-8E20-ABED1704E16F}"/>
    <cellStyle name="Standard 2 4" xfId="7" xr:uid="{C601A64B-F3CA-40B3-B33A-73E770C1E18F}"/>
    <cellStyle name="Standard 2 5" xfId="8" xr:uid="{F48032D8-ACBE-4AB0-A2E1-AE884F05065C}"/>
  </cellStyles>
  <dxfs count="29"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-763.3152239089826</c:v>
                </c:pt>
                <c:pt idx="1">
                  <c:v>-734.24863474422762</c:v>
                </c:pt>
                <c:pt idx="2">
                  <c:v>-705.18204557947263</c:v>
                </c:pt>
                <c:pt idx="3">
                  <c:v>-676.11545641471776</c:v>
                </c:pt>
                <c:pt idx="4">
                  <c:v>-647.04886724996277</c:v>
                </c:pt>
                <c:pt idx="5">
                  <c:v>-617.98227808520778</c:v>
                </c:pt>
                <c:pt idx="6">
                  <c:v>-588.91568892045279</c:v>
                </c:pt>
                <c:pt idx="7">
                  <c:v>-559.84909975569792</c:v>
                </c:pt>
                <c:pt idx="8">
                  <c:v>-530.78251059094293</c:v>
                </c:pt>
                <c:pt idx="9">
                  <c:v>-501.71592142618795</c:v>
                </c:pt>
                <c:pt idx="10">
                  <c:v>-472.64933226143302</c:v>
                </c:pt>
                <c:pt idx="11">
                  <c:v>-443.58274309667803</c:v>
                </c:pt>
                <c:pt idx="12">
                  <c:v>-414.5161539319231</c:v>
                </c:pt>
                <c:pt idx="13">
                  <c:v>-385.44956476716811</c:v>
                </c:pt>
                <c:pt idx="14">
                  <c:v>-356.38297560241318</c:v>
                </c:pt>
                <c:pt idx="15">
                  <c:v>-327.3163864376582</c:v>
                </c:pt>
                <c:pt idx="16">
                  <c:v>-298.24979727290327</c:v>
                </c:pt>
                <c:pt idx="17">
                  <c:v>-269.18320810814828</c:v>
                </c:pt>
                <c:pt idx="18">
                  <c:v>-240.11661894339335</c:v>
                </c:pt>
                <c:pt idx="19">
                  <c:v>-211.05002977863839</c:v>
                </c:pt>
                <c:pt idx="20">
                  <c:v>-181.98344061388343</c:v>
                </c:pt>
                <c:pt idx="21">
                  <c:v>-152.91685144912847</c:v>
                </c:pt>
                <c:pt idx="22">
                  <c:v>-123.85026228437351</c:v>
                </c:pt>
                <c:pt idx="23">
                  <c:v>-94.783673119618555</c:v>
                </c:pt>
                <c:pt idx="24">
                  <c:v>-65.717083954863597</c:v>
                </c:pt>
                <c:pt idx="25">
                  <c:v>-36.650494790108638</c:v>
                </c:pt>
                <c:pt idx="26">
                  <c:v>-7.5839056253536841</c:v>
                </c:pt>
                <c:pt idx="27">
                  <c:v>21.482683539401275</c:v>
                </c:pt>
                <c:pt idx="28">
                  <c:v>50.54927270415623</c:v>
                </c:pt>
                <c:pt idx="29">
                  <c:v>79.615861868911196</c:v>
                </c:pt>
                <c:pt idx="30">
                  <c:v>108.68245103366615</c:v>
                </c:pt>
                <c:pt idx="31">
                  <c:v>137.74904019842111</c:v>
                </c:pt>
                <c:pt idx="32">
                  <c:v>166.81562936317607</c:v>
                </c:pt>
                <c:pt idx="33">
                  <c:v>195.88221852793103</c:v>
                </c:pt>
                <c:pt idx="34">
                  <c:v>224.94880769268599</c:v>
                </c:pt>
                <c:pt idx="35">
                  <c:v>254.01539685744095</c:v>
                </c:pt>
                <c:pt idx="36">
                  <c:v>283.08198602219591</c:v>
                </c:pt>
                <c:pt idx="37">
                  <c:v>312.14857518695072</c:v>
                </c:pt>
                <c:pt idx="38">
                  <c:v>341.21516435170582</c:v>
                </c:pt>
                <c:pt idx="39">
                  <c:v>370.28175351646087</c:v>
                </c:pt>
                <c:pt idx="40">
                  <c:v>399.34834268121574</c:v>
                </c:pt>
                <c:pt idx="41">
                  <c:v>428.41493184597056</c:v>
                </c:pt>
                <c:pt idx="42">
                  <c:v>457.48152101072566</c:v>
                </c:pt>
                <c:pt idx="43">
                  <c:v>486.5481101754807</c:v>
                </c:pt>
                <c:pt idx="44">
                  <c:v>515.61469934023557</c:v>
                </c:pt>
                <c:pt idx="45">
                  <c:v>544.68128850499045</c:v>
                </c:pt>
                <c:pt idx="46">
                  <c:v>573.74787766974544</c:v>
                </c:pt>
                <c:pt idx="47">
                  <c:v>602.81446683450054</c:v>
                </c:pt>
                <c:pt idx="48">
                  <c:v>631.88105599925541</c:v>
                </c:pt>
                <c:pt idx="49">
                  <c:v>660.94764516401028</c:v>
                </c:pt>
                <c:pt idx="50">
                  <c:v>690.01423432876527</c:v>
                </c:pt>
                <c:pt idx="51">
                  <c:v>719.08082349352037</c:v>
                </c:pt>
                <c:pt idx="52">
                  <c:v>748.14741265827524</c:v>
                </c:pt>
                <c:pt idx="53">
                  <c:v>777.21400182303012</c:v>
                </c:pt>
                <c:pt idx="54">
                  <c:v>806.2805909877851</c:v>
                </c:pt>
                <c:pt idx="55">
                  <c:v>835.3471801525402</c:v>
                </c:pt>
                <c:pt idx="56">
                  <c:v>864.41376931729508</c:v>
                </c:pt>
                <c:pt idx="57">
                  <c:v>893.48035848204995</c:v>
                </c:pt>
                <c:pt idx="58">
                  <c:v>922.54694764680494</c:v>
                </c:pt>
                <c:pt idx="59">
                  <c:v>951.61353681156004</c:v>
                </c:pt>
                <c:pt idx="60">
                  <c:v>980.68012597631491</c:v>
                </c:pt>
                <c:pt idx="61">
                  <c:v>1009.7467151410697</c:v>
                </c:pt>
                <c:pt idx="62">
                  <c:v>1038.8133043058249</c:v>
                </c:pt>
                <c:pt idx="63">
                  <c:v>1067.8798934705796</c:v>
                </c:pt>
                <c:pt idx="64">
                  <c:v>1096.9464826353346</c:v>
                </c:pt>
                <c:pt idx="65">
                  <c:v>1126.0130718000894</c:v>
                </c:pt>
                <c:pt idx="66">
                  <c:v>1155.0796609648448</c:v>
                </c:pt>
                <c:pt idx="67">
                  <c:v>1184.1462501295996</c:v>
                </c:pt>
                <c:pt idx="68">
                  <c:v>1213.2128392943544</c:v>
                </c:pt>
                <c:pt idx="69">
                  <c:v>1242.2794284591093</c:v>
                </c:pt>
                <c:pt idx="70">
                  <c:v>1271.3460176238646</c:v>
                </c:pt>
                <c:pt idx="71">
                  <c:v>1300.4126067886193</c:v>
                </c:pt>
                <c:pt idx="72">
                  <c:v>1329.4791959533743</c:v>
                </c:pt>
                <c:pt idx="73">
                  <c:v>1358.5457851181291</c:v>
                </c:pt>
                <c:pt idx="74">
                  <c:v>1387.612374282884</c:v>
                </c:pt>
                <c:pt idx="75">
                  <c:v>1416.6789634476393</c:v>
                </c:pt>
                <c:pt idx="76">
                  <c:v>1445.745552612394</c:v>
                </c:pt>
                <c:pt idx="77">
                  <c:v>1474.812141777149</c:v>
                </c:pt>
                <c:pt idx="78">
                  <c:v>1503.8787309419042</c:v>
                </c:pt>
                <c:pt idx="79">
                  <c:v>1532.945320106659</c:v>
                </c:pt>
                <c:pt idx="80">
                  <c:v>1562.011909271414</c:v>
                </c:pt>
                <c:pt idx="81">
                  <c:v>1591.0784984361687</c:v>
                </c:pt>
                <c:pt idx="82">
                  <c:v>1620.1450876009237</c:v>
                </c:pt>
                <c:pt idx="83">
                  <c:v>1649.2116767656789</c:v>
                </c:pt>
                <c:pt idx="84">
                  <c:v>1678.2782659304337</c:v>
                </c:pt>
                <c:pt idx="85">
                  <c:v>1707.3448550951887</c:v>
                </c:pt>
                <c:pt idx="86">
                  <c:v>1736.4114442599439</c:v>
                </c:pt>
                <c:pt idx="87">
                  <c:v>1765.4780334246987</c:v>
                </c:pt>
                <c:pt idx="88">
                  <c:v>1794.5446225894536</c:v>
                </c:pt>
                <c:pt idx="89">
                  <c:v>1823.6112117542084</c:v>
                </c:pt>
                <c:pt idx="90">
                  <c:v>1852.6778009189634</c:v>
                </c:pt>
                <c:pt idx="91">
                  <c:v>1881.7443900837186</c:v>
                </c:pt>
                <c:pt idx="92">
                  <c:v>1910.8109792484734</c:v>
                </c:pt>
                <c:pt idx="93">
                  <c:v>1939.8775684132283</c:v>
                </c:pt>
                <c:pt idx="94">
                  <c:v>1968.9441575779836</c:v>
                </c:pt>
                <c:pt idx="95">
                  <c:v>1998.0107467427383</c:v>
                </c:pt>
                <c:pt idx="96">
                  <c:v>2027.0773359074933</c:v>
                </c:pt>
                <c:pt idx="97">
                  <c:v>2056.1439250722483</c:v>
                </c:pt>
                <c:pt idx="98">
                  <c:v>2085.2105142370028</c:v>
                </c:pt>
                <c:pt idx="99">
                  <c:v>2114.2771034017583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-83.526846014534726</c:v>
                </c:pt>
                <c:pt idx="1">
                  <c:v>-83.526846014534726</c:v>
                </c:pt>
                <c:pt idx="2">
                  <c:v>-83.44044258373556</c:v>
                </c:pt>
                <c:pt idx="3">
                  <c:v>-83.056054427455905</c:v>
                </c:pt>
                <c:pt idx="4">
                  <c:v>-82.364027828563962</c:v>
                </c:pt>
                <c:pt idx="5">
                  <c:v>-81.364362787059719</c:v>
                </c:pt>
                <c:pt idx="6">
                  <c:v>-80.057059302943202</c:v>
                </c:pt>
                <c:pt idx="7">
                  <c:v>-78.442117376214398</c:v>
                </c:pt>
                <c:pt idx="8">
                  <c:v>-76.519537006873293</c:v>
                </c:pt>
                <c:pt idx="9">
                  <c:v>-74.289318194919943</c:v>
                </c:pt>
                <c:pt idx="10">
                  <c:v>-71.751460940354264</c:v>
                </c:pt>
                <c:pt idx="11">
                  <c:v>-68.905965243176325</c:v>
                </c:pt>
                <c:pt idx="12">
                  <c:v>-65.752831103386086</c:v>
                </c:pt>
                <c:pt idx="13">
                  <c:v>-62.292058520983574</c:v>
                </c:pt>
                <c:pt idx="14">
                  <c:v>-58.523647495968774</c:v>
                </c:pt>
                <c:pt idx="15">
                  <c:v>-54.447598028341687</c:v>
                </c:pt>
                <c:pt idx="16">
                  <c:v>-50.063910118102314</c:v>
                </c:pt>
                <c:pt idx="17">
                  <c:v>-45.372583765250639</c:v>
                </c:pt>
                <c:pt idx="18">
                  <c:v>-40.373618969786705</c:v>
                </c:pt>
                <c:pt idx="19">
                  <c:v>-35.06701573171047</c:v>
                </c:pt>
                <c:pt idx="20">
                  <c:v>-29.452774051021951</c:v>
                </c:pt>
                <c:pt idx="21">
                  <c:v>-23.530893927721156</c:v>
                </c:pt>
                <c:pt idx="22">
                  <c:v>-17.301375361808066</c:v>
                </c:pt>
                <c:pt idx="23">
                  <c:v>-10.457729054890397</c:v>
                </c:pt>
                <c:pt idx="24">
                  <c:v>-2.6693262005595635</c:v>
                </c:pt>
                <c:pt idx="25">
                  <c:v>6.063950874247892</c:v>
                </c:pt>
                <c:pt idx="26">
                  <c:v>15.742102169531966</c:v>
                </c:pt>
                <c:pt idx="27">
                  <c:v>26.365127685292656</c:v>
                </c:pt>
                <c:pt idx="28">
                  <c:v>37.933027421529971</c:v>
                </c:pt>
                <c:pt idx="29">
                  <c:v>50.445801378243893</c:v>
                </c:pt>
                <c:pt idx="30">
                  <c:v>63.903449555434442</c:v>
                </c:pt>
                <c:pt idx="31">
                  <c:v>78.305971953101619</c:v>
                </c:pt>
                <c:pt idx="32">
                  <c:v>93.65336857124538</c:v>
                </c:pt>
                <c:pt idx="33">
                  <c:v>109.94563940986581</c:v>
                </c:pt>
                <c:pt idx="34">
                  <c:v>127.18278446896281</c:v>
                </c:pt>
                <c:pt idx="35">
                  <c:v>145.36480374853647</c:v>
                </c:pt>
                <c:pt idx="36">
                  <c:v>164.49169724858669</c:v>
                </c:pt>
                <c:pt idx="37">
                  <c:v>184.56346496911351</c:v>
                </c:pt>
                <c:pt idx="38">
                  <c:v>205.58010691011705</c:v>
                </c:pt>
                <c:pt idx="39">
                  <c:v>227.54162307159729</c:v>
                </c:pt>
                <c:pt idx="40">
                  <c:v>250.44801345355393</c:v>
                </c:pt>
                <c:pt idx="41">
                  <c:v>274.2992780559872</c:v>
                </c:pt>
                <c:pt idx="42">
                  <c:v>299.09541687889725</c:v>
                </c:pt>
                <c:pt idx="43">
                  <c:v>324.83642992228391</c:v>
                </c:pt>
                <c:pt idx="44">
                  <c:v>351.52231718614706</c:v>
                </c:pt>
                <c:pt idx="45">
                  <c:v>379.15307867048671</c:v>
                </c:pt>
                <c:pt idx="46">
                  <c:v>407.7287143753033</c:v>
                </c:pt>
                <c:pt idx="47">
                  <c:v>437.2492243005965</c:v>
                </c:pt>
                <c:pt idx="48">
                  <c:v>467.71460844636601</c:v>
                </c:pt>
                <c:pt idx="49">
                  <c:v>499.1248668126122</c:v>
                </c:pt>
                <c:pt idx="50">
                  <c:v>531.47999939933527</c:v>
                </c:pt>
                <c:pt idx="51">
                  <c:v>564.78000620653495</c:v>
                </c:pt>
                <c:pt idx="52">
                  <c:v>599.02488723421095</c:v>
                </c:pt>
                <c:pt idx="53">
                  <c:v>634.21464248236373</c:v>
                </c:pt>
                <c:pt idx="54">
                  <c:v>670.34927195099317</c:v>
                </c:pt>
                <c:pt idx="55">
                  <c:v>707.42877564009927</c:v>
                </c:pt>
                <c:pt idx="56">
                  <c:v>745.45315354968182</c:v>
                </c:pt>
                <c:pt idx="57">
                  <c:v>784.4224056797409</c:v>
                </c:pt>
                <c:pt idx="58">
                  <c:v>824.33653203027689</c:v>
                </c:pt>
                <c:pt idx="59">
                  <c:v>865.19553260128953</c:v>
                </c:pt>
                <c:pt idx="60">
                  <c:v>906.99940739277849</c:v>
                </c:pt>
                <c:pt idx="61">
                  <c:v>949.74815640474401</c:v>
                </c:pt>
                <c:pt idx="62">
                  <c:v>993.44177963718653</c:v>
                </c:pt>
                <c:pt idx="63">
                  <c:v>1038.0802770901055</c:v>
                </c:pt>
                <c:pt idx="64">
                  <c:v>1083.663648763501</c:v>
                </c:pt>
                <c:pt idx="65">
                  <c:v>1130.1918946573728</c:v>
                </c:pt>
                <c:pt idx="66">
                  <c:v>1177.6650147717221</c:v>
                </c:pt>
                <c:pt idx="67">
                  <c:v>1226.0830091065475</c:v>
                </c:pt>
                <c:pt idx="68">
                  <c:v>1275.4458776618494</c:v>
                </c:pt>
                <c:pt idx="69">
                  <c:v>1325.7536204376277</c:v>
                </c:pt>
                <c:pt idx="70">
                  <c:v>1377.0062374338838</c:v>
                </c:pt>
                <c:pt idx="71">
                  <c:v>1429.2037286506152</c:v>
                </c:pt>
                <c:pt idx="72">
                  <c:v>1482.3460940878238</c:v>
                </c:pt>
                <c:pt idx="73">
                  <c:v>1536.4333337455087</c:v>
                </c:pt>
                <c:pt idx="74">
                  <c:v>1591.4654476236701</c:v>
                </c:pt>
                <c:pt idx="75">
                  <c:v>1647.442435722309</c:v>
                </c:pt>
                <c:pt idx="76">
                  <c:v>1704.364298041424</c:v>
                </c:pt>
                <c:pt idx="77">
                  <c:v>1762.2310345810156</c:v>
                </c:pt>
                <c:pt idx="78">
                  <c:v>1821.0426453410844</c:v>
                </c:pt>
                <c:pt idx="79">
                  <c:v>1880.7991303216288</c:v>
                </c:pt>
                <c:pt idx="80">
                  <c:v>1941.50048952265</c:v>
                </c:pt>
                <c:pt idx="81">
                  <c:v>2003.1467229441478</c:v>
                </c:pt>
                <c:pt idx="82">
                  <c:v>2065.7378305861225</c:v>
                </c:pt>
                <c:pt idx="83">
                  <c:v>2129.2738124485745</c:v>
                </c:pt>
                <c:pt idx="84">
                  <c:v>2193.7546685315019</c:v>
                </c:pt>
                <c:pt idx="85">
                  <c:v>2259.1803988349066</c:v>
                </c:pt>
                <c:pt idx="86">
                  <c:v>2325.551003358788</c:v>
                </c:pt>
                <c:pt idx="87">
                  <c:v>2392.8664821031462</c:v>
                </c:pt>
                <c:pt idx="88">
                  <c:v>2461.1268350679802</c:v>
                </c:pt>
                <c:pt idx="89">
                  <c:v>2530.3320622532906</c:v>
                </c:pt>
                <c:pt idx="90">
                  <c:v>2600.4821636590787</c:v>
                </c:pt>
                <c:pt idx="91">
                  <c:v>2671.577139285343</c:v>
                </c:pt>
                <c:pt idx="92">
                  <c:v>2743.6169891320842</c:v>
                </c:pt>
                <c:pt idx="93">
                  <c:v>2816.6017131993012</c:v>
                </c:pt>
                <c:pt idx="94">
                  <c:v>2890.5313114869959</c:v>
                </c:pt>
                <c:pt idx="95">
                  <c:v>2965.4057839951661</c:v>
                </c:pt>
                <c:pt idx="96">
                  <c:v>3041.2251307238139</c:v>
                </c:pt>
                <c:pt idx="97">
                  <c:v>3117.9893516729376</c:v>
                </c:pt>
                <c:pt idx="98">
                  <c:v>3195.6984468425376</c:v>
                </c:pt>
                <c:pt idx="99">
                  <c:v>3274.3524162326157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-763.3152239089826</c:v>
                </c:pt>
                <c:pt idx="1">
                  <c:v>-734.24863474422762</c:v>
                </c:pt>
                <c:pt idx="2">
                  <c:v>-705.18204557947263</c:v>
                </c:pt>
                <c:pt idx="3">
                  <c:v>-676.11545641471776</c:v>
                </c:pt>
                <c:pt idx="4">
                  <c:v>-647.04886724996277</c:v>
                </c:pt>
                <c:pt idx="5">
                  <c:v>-617.98227808520778</c:v>
                </c:pt>
                <c:pt idx="6">
                  <c:v>-588.91568892045279</c:v>
                </c:pt>
                <c:pt idx="7">
                  <c:v>-559.84909975569792</c:v>
                </c:pt>
                <c:pt idx="8">
                  <c:v>-530.78251059094293</c:v>
                </c:pt>
                <c:pt idx="9">
                  <c:v>-501.71592142618795</c:v>
                </c:pt>
                <c:pt idx="10">
                  <c:v>-472.64933226143302</c:v>
                </c:pt>
                <c:pt idx="11">
                  <c:v>-443.58274309667803</c:v>
                </c:pt>
                <c:pt idx="12">
                  <c:v>-414.5161539319231</c:v>
                </c:pt>
                <c:pt idx="13">
                  <c:v>-385.44956476716811</c:v>
                </c:pt>
                <c:pt idx="14">
                  <c:v>-356.38297560241318</c:v>
                </c:pt>
                <c:pt idx="15">
                  <c:v>-327.3163864376582</c:v>
                </c:pt>
                <c:pt idx="16">
                  <c:v>-298.24979727290327</c:v>
                </c:pt>
                <c:pt idx="17">
                  <c:v>-269.18320810814828</c:v>
                </c:pt>
                <c:pt idx="18">
                  <c:v>-240.11661894339335</c:v>
                </c:pt>
                <c:pt idx="19">
                  <c:v>-211.05002977863839</c:v>
                </c:pt>
                <c:pt idx="20">
                  <c:v>-181.98344061388343</c:v>
                </c:pt>
                <c:pt idx="21">
                  <c:v>-152.91685144912847</c:v>
                </c:pt>
                <c:pt idx="22">
                  <c:v>-123.85026228437351</c:v>
                </c:pt>
                <c:pt idx="23">
                  <c:v>-94.783673119618555</c:v>
                </c:pt>
                <c:pt idx="24">
                  <c:v>-65.717083954863597</c:v>
                </c:pt>
                <c:pt idx="25">
                  <c:v>-36.650494790108638</c:v>
                </c:pt>
                <c:pt idx="26">
                  <c:v>-7.5839056253536841</c:v>
                </c:pt>
                <c:pt idx="27">
                  <c:v>21.482683539401275</c:v>
                </c:pt>
                <c:pt idx="28">
                  <c:v>50.54927270415623</c:v>
                </c:pt>
                <c:pt idx="29">
                  <c:v>79.615861868911196</c:v>
                </c:pt>
                <c:pt idx="30">
                  <c:v>108.68245103366615</c:v>
                </c:pt>
                <c:pt idx="31">
                  <c:v>137.74904019842111</c:v>
                </c:pt>
                <c:pt idx="32">
                  <c:v>166.81562936317607</c:v>
                </c:pt>
                <c:pt idx="33">
                  <c:v>195.88221852793103</c:v>
                </c:pt>
                <c:pt idx="34">
                  <c:v>224.94880769268599</c:v>
                </c:pt>
                <c:pt idx="35">
                  <c:v>254.01539685744095</c:v>
                </c:pt>
                <c:pt idx="36">
                  <c:v>283.08198602219591</c:v>
                </c:pt>
                <c:pt idx="37">
                  <c:v>312.14857518695072</c:v>
                </c:pt>
                <c:pt idx="38">
                  <c:v>341.21516435170582</c:v>
                </c:pt>
                <c:pt idx="39">
                  <c:v>370.28175351646087</c:v>
                </c:pt>
                <c:pt idx="40">
                  <c:v>399.34834268121574</c:v>
                </c:pt>
                <c:pt idx="41">
                  <c:v>428.41493184597056</c:v>
                </c:pt>
                <c:pt idx="42">
                  <c:v>457.48152101072566</c:v>
                </c:pt>
                <c:pt idx="43">
                  <c:v>486.5481101754807</c:v>
                </c:pt>
                <c:pt idx="44">
                  <c:v>515.61469934023557</c:v>
                </c:pt>
                <c:pt idx="45">
                  <c:v>544.68128850499045</c:v>
                </c:pt>
                <c:pt idx="46">
                  <c:v>573.74787766974544</c:v>
                </c:pt>
                <c:pt idx="47">
                  <c:v>602.81446683450054</c:v>
                </c:pt>
                <c:pt idx="48">
                  <c:v>631.88105599925541</c:v>
                </c:pt>
                <c:pt idx="49">
                  <c:v>660.94764516401028</c:v>
                </c:pt>
                <c:pt idx="50">
                  <c:v>690.01423432876527</c:v>
                </c:pt>
                <c:pt idx="51">
                  <c:v>719.08082349352037</c:v>
                </c:pt>
                <c:pt idx="52">
                  <c:v>748.14741265827524</c:v>
                </c:pt>
                <c:pt idx="53">
                  <c:v>777.21400182303012</c:v>
                </c:pt>
                <c:pt idx="54">
                  <c:v>806.2805909877851</c:v>
                </c:pt>
                <c:pt idx="55">
                  <c:v>835.3471801525402</c:v>
                </c:pt>
                <c:pt idx="56">
                  <c:v>864.41376931729508</c:v>
                </c:pt>
                <c:pt idx="57">
                  <c:v>893.48035848204995</c:v>
                </c:pt>
                <c:pt idx="58">
                  <c:v>922.54694764680494</c:v>
                </c:pt>
                <c:pt idx="59">
                  <c:v>951.61353681156004</c:v>
                </c:pt>
                <c:pt idx="60">
                  <c:v>980.68012597631491</c:v>
                </c:pt>
                <c:pt idx="61">
                  <c:v>1009.7467151410697</c:v>
                </c:pt>
                <c:pt idx="62">
                  <c:v>1038.8133043058249</c:v>
                </c:pt>
                <c:pt idx="63">
                  <c:v>1067.8798934705796</c:v>
                </c:pt>
                <c:pt idx="64">
                  <c:v>1096.9464826353346</c:v>
                </c:pt>
                <c:pt idx="65">
                  <c:v>1126.0130718000894</c:v>
                </c:pt>
                <c:pt idx="66">
                  <c:v>1155.0796609648448</c:v>
                </c:pt>
                <c:pt idx="67">
                  <c:v>1184.1462501295996</c:v>
                </c:pt>
                <c:pt idx="68">
                  <c:v>1213.2128392943544</c:v>
                </c:pt>
                <c:pt idx="69">
                  <c:v>1242.2794284591093</c:v>
                </c:pt>
                <c:pt idx="70">
                  <c:v>1271.3460176238646</c:v>
                </c:pt>
                <c:pt idx="71">
                  <c:v>1300.4126067886193</c:v>
                </c:pt>
                <c:pt idx="72">
                  <c:v>1329.4791959533743</c:v>
                </c:pt>
                <c:pt idx="73">
                  <c:v>1358.5457851181291</c:v>
                </c:pt>
                <c:pt idx="74">
                  <c:v>1387.612374282884</c:v>
                </c:pt>
                <c:pt idx="75">
                  <c:v>1416.6789634476393</c:v>
                </c:pt>
                <c:pt idx="76">
                  <c:v>1445.745552612394</c:v>
                </c:pt>
                <c:pt idx="77">
                  <c:v>1474.812141777149</c:v>
                </c:pt>
                <c:pt idx="78">
                  <c:v>1503.8787309419042</c:v>
                </c:pt>
                <c:pt idx="79">
                  <c:v>1532.945320106659</c:v>
                </c:pt>
                <c:pt idx="80">
                  <c:v>1562.011909271414</c:v>
                </c:pt>
                <c:pt idx="81">
                  <c:v>1591.0784984361687</c:v>
                </c:pt>
                <c:pt idx="82">
                  <c:v>1620.1450876009237</c:v>
                </c:pt>
                <c:pt idx="83">
                  <c:v>1649.2116767656789</c:v>
                </c:pt>
                <c:pt idx="84">
                  <c:v>1678.2782659304337</c:v>
                </c:pt>
                <c:pt idx="85">
                  <c:v>1707.3448550951887</c:v>
                </c:pt>
                <c:pt idx="86">
                  <c:v>1736.4114442599439</c:v>
                </c:pt>
                <c:pt idx="87">
                  <c:v>1765.4780334246987</c:v>
                </c:pt>
                <c:pt idx="88">
                  <c:v>1794.5446225894536</c:v>
                </c:pt>
                <c:pt idx="89">
                  <c:v>1823.6112117542084</c:v>
                </c:pt>
                <c:pt idx="90">
                  <c:v>1852.6778009189634</c:v>
                </c:pt>
                <c:pt idx="91">
                  <c:v>1881.7443900837186</c:v>
                </c:pt>
                <c:pt idx="92">
                  <c:v>1910.8109792484734</c:v>
                </c:pt>
                <c:pt idx="93">
                  <c:v>1939.8775684132283</c:v>
                </c:pt>
                <c:pt idx="94">
                  <c:v>1968.9441575779836</c:v>
                </c:pt>
                <c:pt idx="95">
                  <c:v>1998.0107467427383</c:v>
                </c:pt>
                <c:pt idx="96">
                  <c:v>2027.0773359074933</c:v>
                </c:pt>
                <c:pt idx="97">
                  <c:v>2056.1439250722483</c:v>
                </c:pt>
                <c:pt idx="98">
                  <c:v>2085.2105142370028</c:v>
                </c:pt>
                <c:pt idx="99">
                  <c:v>2114.2771034017583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2793.7606945601951</c:v>
                </c:pt>
                <c:pt idx="1">
                  <c:v>2793.7606945601951</c:v>
                </c:pt>
                <c:pt idx="2">
                  <c:v>2793.7688198354372</c:v>
                </c:pt>
                <c:pt idx="3">
                  <c:v>2793.8049672376933</c:v>
                </c:pt>
                <c:pt idx="4">
                  <c:v>2793.8700445909708</c:v>
                </c:pt>
                <c:pt idx="5">
                  <c:v>2793.964051895271</c:v>
                </c:pt>
                <c:pt idx="6">
                  <c:v>2794.0869891505931</c:v>
                </c:pt>
                <c:pt idx="7">
                  <c:v>2794.238856356937</c:v>
                </c:pt>
                <c:pt idx="8">
                  <c:v>2794.4196535143028</c:v>
                </c:pt>
                <c:pt idx="9">
                  <c:v>2794.62938062269</c:v>
                </c:pt>
                <c:pt idx="10">
                  <c:v>2794.8680376820998</c:v>
                </c:pt>
                <c:pt idx="11">
                  <c:v>2795.1356246925311</c:v>
                </c:pt>
                <c:pt idx="12">
                  <c:v>2795.4321416539842</c:v>
                </c:pt>
                <c:pt idx="13">
                  <c:v>2795.7575885664596</c:v>
                </c:pt>
                <c:pt idx="14">
                  <c:v>2796.1119654299564</c:v>
                </c:pt>
                <c:pt idx="15">
                  <c:v>2796.4952722444759</c:v>
                </c:pt>
                <c:pt idx="16">
                  <c:v>2796.9075090100168</c:v>
                </c:pt>
                <c:pt idx="17">
                  <c:v>2797.3486757265796</c:v>
                </c:pt>
                <c:pt idx="18">
                  <c:v>2797.8187723941646</c:v>
                </c:pt>
                <c:pt idx="19">
                  <c:v>2798.317799012771</c:v>
                </c:pt>
                <c:pt idx="20">
                  <c:v>2798.8457555823998</c:v>
                </c:pt>
                <c:pt idx="21">
                  <c:v>2799.4026421030499</c:v>
                </c:pt>
                <c:pt idx="22">
                  <c:v>2799.9884585747227</c:v>
                </c:pt>
                <c:pt idx="23">
                  <c:v>2800.7060144763791</c:v>
                </c:pt>
                <c:pt idx="24">
                  <c:v>2801.6662166993692</c:v>
                </c:pt>
                <c:pt idx="25">
                  <c:v>2802.8691047162183</c:v>
                </c:pt>
                <c:pt idx="26">
                  <c:v>2804.3146785269264</c:v>
                </c:pt>
                <c:pt idx="27">
                  <c:v>2806.0029381314926</c:v>
                </c:pt>
                <c:pt idx="28">
                  <c:v>2807.9338835299172</c:v>
                </c:pt>
                <c:pt idx="29">
                  <c:v>2810.1075147222004</c:v>
                </c:pt>
                <c:pt idx="30">
                  <c:v>2812.5238317083426</c:v>
                </c:pt>
                <c:pt idx="31">
                  <c:v>2815.1828344883434</c:v>
                </c:pt>
                <c:pt idx="32">
                  <c:v>2818.0845230622026</c:v>
                </c:pt>
                <c:pt idx="33">
                  <c:v>2821.2288974299208</c:v>
                </c:pt>
                <c:pt idx="34">
                  <c:v>2824.6159575914967</c:v>
                </c:pt>
                <c:pt idx="35">
                  <c:v>2828.245703546932</c:v>
                </c:pt>
                <c:pt idx="36">
                  <c:v>2832.1181352962258</c:v>
                </c:pt>
                <c:pt idx="37">
                  <c:v>2836.2332528393777</c:v>
                </c:pt>
                <c:pt idx="38">
                  <c:v>2840.5910561763885</c:v>
                </c:pt>
                <c:pt idx="39">
                  <c:v>2845.1915453072584</c:v>
                </c:pt>
                <c:pt idx="40">
                  <c:v>2850.0347202319858</c:v>
                </c:pt>
                <c:pt idx="41">
                  <c:v>2855.1205809505727</c:v>
                </c:pt>
                <c:pt idx="42">
                  <c:v>2860.4491274630177</c:v>
                </c:pt>
                <c:pt idx="43">
                  <c:v>2866.0203597693217</c:v>
                </c:pt>
                <c:pt idx="44">
                  <c:v>2871.8342778694841</c:v>
                </c:pt>
                <c:pt idx="45">
                  <c:v>2877.8908817635047</c:v>
                </c:pt>
                <c:pt idx="46">
                  <c:v>2884.1901714513842</c:v>
                </c:pt>
                <c:pt idx="47">
                  <c:v>2890.7321469331227</c:v>
                </c:pt>
                <c:pt idx="48">
                  <c:v>2897.5168082087189</c:v>
                </c:pt>
                <c:pt idx="49">
                  <c:v>2904.544155278174</c:v>
                </c:pt>
                <c:pt idx="50">
                  <c:v>2911.8141881414881</c:v>
                </c:pt>
                <c:pt idx="51">
                  <c:v>2919.3269067986607</c:v>
                </c:pt>
                <c:pt idx="52">
                  <c:v>2927.0823112496914</c:v>
                </c:pt>
                <c:pt idx="53">
                  <c:v>2935.0804014945811</c:v>
                </c:pt>
                <c:pt idx="54">
                  <c:v>2943.3211775333293</c:v>
                </c:pt>
                <c:pt idx="55">
                  <c:v>2951.8046393659365</c:v>
                </c:pt>
                <c:pt idx="56">
                  <c:v>2960.5307869924018</c:v>
                </c:pt>
                <c:pt idx="57">
                  <c:v>2969.499620412726</c:v>
                </c:pt>
                <c:pt idx="58">
                  <c:v>2978.7111396269088</c:v>
                </c:pt>
                <c:pt idx="59">
                  <c:v>2988.1653446349501</c:v>
                </c:pt>
                <c:pt idx="60">
                  <c:v>2997.8622354368499</c:v>
                </c:pt>
                <c:pt idx="61">
                  <c:v>3007.8018120326078</c:v>
                </c:pt>
                <c:pt idx="62">
                  <c:v>3017.9840744222251</c:v>
                </c:pt>
                <c:pt idx="63">
                  <c:v>3028.409022605701</c:v>
                </c:pt>
                <c:pt idx="64">
                  <c:v>3039.0766565830349</c:v>
                </c:pt>
                <c:pt idx="65">
                  <c:v>3049.9869763542274</c:v>
                </c:pt>
                <c:pt idx="66">
                  <c:v>3061.1399819192789</c:v>
                </c:pt>
                <c:pt idx="67">
                  <c:v>3072.5356732781888</c:v>
                </c:pt>
                <c:pt idx="68">
                  <c:v>3084.1740504309578</c:v>
                </c:pt>
                <c:pt idx="69">
                  <c:v>3096.0551133775848</c:v>
                </c:pt>
                <c:pt idx="70">
                  <c:v>3108.1788621180704</c:v>
                </c:pt>
                <c:pt idx="71">
                  <c:v>3120.5452966524149</c:v>
                </c:pt>
                <c:pt idx="72">
                  <c:v>3133.1544169806175</c:v>
                </c:pt>
                <c:pt idx="73">
                  <c:v>3146.0062231026791</c:v>
                </c:pt>
                <c:pt idx="74">
                  <c:v>3159.1007150185992</c:v>
                </c:pt>
                <c:pt idx="75">
                  <c:v>3172.4378927283778</c:v>
                </c:pt>
                <c:pt idx="76">
                  <c:v>3186.0177562320155</c:v>
                </c:pt>
                <c:pt idx="77">
                  <c:v>3199.8403055295112</c:v>
                </c:pt>
                <c:pt idx="78">
                  <c:v>3213.9055406208658</c:v>
                </c:pt>
                <c:pt idx="79">
                  <c:v>3228.2134615060791</c:v>
                </c:pt>
                <c:pt idx="80">
                  <c:v>3242.7640681851503</c:v>
                </c:pt>
                <c:pt idx="81">
                  <c:v>3257.5573606580801</c:v>
                </c:pt>
                <c:pt idx="82">
                  <c:v>3272.5933389248689</c:v>
                </c:pt>
                <c:pt idx="83">
                  <c:v>3287.8720029855172</c:v>
                </c:pt>
                <c:pt idx="84">
                  <c:v>3303.3933528400225</c:v>
                </c:pt>
                <c:pt idx="85">
                  <c:v>3319.1573884883874</c:v>
                </c:pt>
                <c:pt idx="86">
                  <c:v>3335.1641099306107</c:v>
                </c:pt>
                <c:pt idx="87">
                  <c:v>3351.4135171666926</c:v>
                </c:pt>
                <c:pt idx="88">
                  <c:v>3367.905610196633</c:v>
                </c:pt>
                <c:pt idx="89">
                  <c:v>3384.6403890204319</c:v>
                </c:pt>
                <c:pt idx="90">
                  <c:v>3401.6178536380894</c:v>
                </c:pt>
                <c:pt idx="91">
                  <c:v>3418.8380040496058</c:v>
                </c:pt>
                <c:pt idx="92">
                  <c:v>3436.3008402549804</c:v>
                </c:pt>
                <c:pt idx="93">
                  <c:v>3454.0063622542134</c:v>
                </c:pt>
                <c:pt idx="94">
                  <c:v>3471.9545700473059</c:v>
                </c:pt>
                <c:pt idx="95">
                  <c:v>3490.1454636342564</c:v>
                </c:pt>
                <c:pt idx="96">
                  <c:v>3508.5790430150651</c:v>
                </c:pt>
                <c:pt idx="97">
                  <c:v>3527.2553081897331</c:v>
                </c:pt>
                <c:pt idx="98">
                  <c:v>3546.1742591582592</c:v>
                </c:pt>
                <c:pt idx="99">
                  <c:v>3565.3358959206444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-655.13190749195746</c:v>
                </c:pt>
                <c:pt idx="1">
                  <c:v>-628.02519477230248</c:v>
                </c:pt>
                <c:pt idx="2">
                  <c:v>-600.91848205264773</c:v>
                </c:pt>
                <c:pt idx="3">
                  <c:v>-573.81176933299287</c:v>
                </c:pt>
                <c:pt idx="4">
                  <c:v>-546.705056613338</c:v>
                </c:pt>
                <c:pt idx="5">
                  <c:v>-519.59834389368302</c:v>
                </c:pt>
                <c:pt idx="6">
                  <c:v>-492.49163117402821</c:v>
                </c:pt>
                <c:pt idx="7">
                  <c:v>-465.38491845437335</c:v>
                </c:pt>
                <c:pt idx="8">
                  <c:v>-438.27820573471848</c:v>
                </c:pt>
                <c:pt idx="9">
                  <c:v>-411.17149301506356</c:v>
                </c:pt>
                <c:pt idx="10">
                  <c:v>-384.06478029540875</c:v>
                </c:pt>
                <c:pt idx="11">
                  <c:v>-356.95806757575389</c:v>
                </c:pt>
                <c:pt idx="12">
                  <c:v>-329.85135485609902</c:v>
                </c:pt>
                <c:pt idx="13">
                  <c:v>-302.7446421364441</c:v>
                </c:pt>
                <c:pt idx="14">
                  <c:v>-275.63792941678929</c:v>
                </c:pt>
                <c:pt idx="15">
                  <c:v>-248.53121669713443</c:v>
                </c:pt>
                <c:pt idx="16">
                  <c:v>-221.42450397747953</c:v>
                </c:pt>
                <c:pt idx="17">
                  <c:v>-194.31779125782464</c:v>
                </c:pt>
                <c:pt idx="18">
                  <c:v>-167.2110785381698</c:v>
                </c:pt>
                <c:pt idx="19">
                  <c:v>-140.10436581851496</c:v>
                </c:pt>
                <c:pt idx="20">
                  <c:v>-112.99765309886006</c:v>
                </c:pt>
                <c:pt idx="21">
                  <c:v>-85.890940379205162</c:v>
                </c:pt>
                <c:pt idx="22">
                  <c:v>-58.784227659550382</c:v>
                </c:pt>
                <c:pt idx="23">
                  <c:v>-31.677514939895481</c:v>
                </c:pt>
                <c:pt idx="24">
                  <c:v>-4.5708022202405845</c:v>
                </c:pt>
                <c:pt idx="25">
                  <c:v>22.535910499414314</c:v>
                </c:pt>
                <c:pt idx="26">
                  <c:v>49.642623219069208</c:v>
                </c:pt>
                <c:pt idx="27">
                  <c:v>76.749335938723988</c:v>
                </c:pt>
                <c:pt idx="28">
                  <c:v>103.85604865837888</c:v>
                </c:pt>
                <c:pt idx="29">
                  <c:v>130.96276137803378</c:v>
                </c:pt>
                <c:pt idx="30">
                  <c:v>158.06947409768856</c:v>
                </c:pt>
                <c:pt idx="31">
                  <c:v>185.17618681734345</c:v>
                </c:pt>
                <c:pt idx="32">
                  <c:v>212.28289953699837</c:v>
                </c:pt>
                <c:pt idx="33">
                  <c:v>239.38961225665327</c:v>
                </c:pt>
                <c:pt idx="34">
                  <c:v>266.49632497630813</c:v>
                </c:pt>
                <c:pt idx="35">
                  <c:v>293.60303769596294</c:v>
                </c:pt>
                <c:pt idx="36">
                  <c:v>320.7097504156178</c:v>
                </c:pt>
                <c:pt idx="37">
                  <c:v>347.81646313527273</c:v>
                </c:pt>
                <c:pt idx="38">
                  <c:v>374.92317585492754</c:v>
                </c:pt>
                <c:pt idx="39">
                  <c:v>402.0298885745824</c:v>
                </c:pt>
                <c:pt idx="40">
                  <c:v>429.13660129423732</c:v>
                </c:pt>
                <c:pt idx="41">
                  <c:v>456.24331401389219</c:v>
                </c:pt>
                <c:pt idx="42">
                  <c:v>483.35002673354711</c:v>
                </c:pt>
                <c:pt idx="43">
                  <c:v>510.45673945320198</c:v>
                </c:pt>
                <c:pt idx="44">
                  <c:v>537.56345217285661</c:v>
                </c:pt>
                <c:pt idx="45">
                  <c:v>564.67016489251159</c:v>
                </c:pt>
                <c:pt idx="46">
                  <c:v>591.77687761216646</c:v>
                </c:pt>
                <c:pt idx="47">
                  <c:v>618.88359033182132</c:v>
                </c:pt>
                <c:pt idx="48">
                  <c:v>645.9903030514763</c:v>
                </c:pt>
                <c:pt idx="49">
                  <c:v>673.09701577113117</c:v>
                </c:pt>
                <c:pt idx="50">
                  <c:v>700.20372849078603</c:v>
                </c:pt>
                <c:pt idx="51">
                  <c:v>727.3104412104409</c:v>
                </c:pt>
                <c:pt idx="52">
                  <c:v>754.41715393009588</c:v>
                </c:pt>
                <c:pt idx="53">
                  <c:v>781.52386664975052</c:v>
                </c:pt>
                <c:pt idx="54">
                  <c:v>808.63057936940538</c:v>
                </c:pt>
                <c:pt idx="55">
                  <c:v>835.73729208906025</c:v>
                </c:pt>
                <c:pt idx="56">
                  <c:v>862.84400480871523</c:v>
                </c:pt>
                <c:pt idx="57">
                  <c:v>889.95071752837009</c:v>
                </c:pt>
                <c:pt idx="58">
                  <c:v>917.05743024802496</c:v>
                </c:pt>
                <c:pt idx="59">
                  <c:v>944.16414296767994</c:v>
                </c:pt>
                <c:pt idx="60">
                  <c:v>971.27085568733457</c:v>
                </c:pt>
                <c:pt idx="61">
                  <c:v>998.37756840698944</c:v>
                </c:pt>
                <c:pt idx="62">
                  <c:v>1025.4842811266444</c:v>
                </c:pt>
                <c:pt idx="63">
                  <c:v>1052.5909938462992</c:v>
                </c:pt>
                <c:pt idx="64">
                  <c:v>1079.6977065659541</c:v>
                </c:pt>
                <c:pt idx="65">
                  <c:v>1106.8044192856089</c:v>
                </c:pt>
                <c:pt idx="66">
                  <c:v>1133.9111320052641</c:v>
                </c:pt>
                <c:pt idx="67">
                  <c:v>1161.0178447249186</c:v>
                </c:pt>
                <c:pt idx="68">
                  <c:v>1188.1245574445738</c:v>
                </c:pt>
                <c:pt idx="69">
                  <c:v>1215.2312701642286</c:v>
                </c:pt>
                <c:pt idx="70">
                  <c:v>1242.3379828838831</c:v>
                </c:pt>
                <c:pt idx="71">
                  <c:v>1269.4446956035383</c:v>
                </c:pt>
                <c:pt idx="72">
                  <c:v>1296.5514083231931</c:v>
                </c:pt>
                <c:pt idx="73">
                  <c:v>1323.6581210428481</c:v>
                </c:pt>
                <c:pt idx="74">
                  <c:v>1350.7648337625028</c:v>
                </c:pt>
                <c:pt idx="75">
                  <c:v>1377.8715464821578</c:v>
                </c:pt>
                <c:pt idx="76">
                  <c:v>1404.9782592018125</c:v>
                </c:pt>
                <c:pt idx="77">
                  <c:v>1432.0849719214673</c:v>
                </c:pt>
                <c:pt idx="78">
                  <c:v>1459.1916846411223</c:v>
                </c:pt>
                <c:pt idx="79">
                  <c:v>1486.2983973607775</c:v>
                </c:pt>
                <c:pt idx="80">
                  <c:v>1513.4051100804322</c:v>
                </c:pt>
                <c:pt idx="81">
                  <c:v>1540.5118228000867</c:v>
                </c:pt>
                <c:pt idx="82">
                  <c:v>1567.618535519742</c:v>
                </c:pt>
                <c:pt idx="83">
                  <c:v>1594.7252482393967</c:v>
                </c:pt>
                <c:pt idx="84">
                  <c:v>1621.8319609590517</c:v>
                </c:pt>
                <c:pt idx="85">
                  <c:v>1648.9386736787064</c:v>
                </c:pt>
                <c:pt idx="86">
                  <c:v>1676.0453863983616</c:v>
                </c:pt>
                <c:pt idx="87">
                  <c:v>1703.1520991180162</c:v>
                </c:pt>
                <c:pt idx="88">
                  <c:v>1730.2588118376709</c:v>
                </c:pt>
                <c:pt idx="89">
                  <c:v>1757.3655245573259</c:v>
                </c:pt>
                <c:pt idx="90">
                  <c:v>1784.4722372769806</c:v>
                </c:pt>
                <c:pt idx="91">
                  <c:v>1811.5789499966359</c:v>
                </c:pt>
                <c:pt idx="92">
                  <c:v>1838.6856627162904</c:v>
                </c:pt>
                <c:pt idx="93">
                  <c:v>1865.7923754359456</c:v>
                </c:pt>
                <c:pt idx="94">
                  <c:v>1892.8990881556003</c:v>
                </c:pt>
                <c:pt idx="95">
                  <c:v>1920.0058008752553</c:v>
                </c:pt>
                <c:pt idx="96">
                  <c:v>1947.1125135949101</c:v>
                </c:pt>
                <c:pt idx="97">
                  <c:v>1974.2192263145646</c:v>
                </c:pt>
                <c:pt idx="98">
                  <c:v>2001.3259390342198</c:v>
                </c:pt>
                <c:pt idx="99">
                  <c:v>2028.4326517538746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-74.953406561099612</c:v>
                </c:pt>
                <c:pt idx="1">
                  <c:v>-74.953406561099612</c:v>
                </c:pt>
                <c:pt idx="2">
                  <c:v>-74.840176273000012</c:v>
                </c:pt>
                <c:pt idx="3">
                  <c:v>-74.416426180943304</c:v>
                </c:pt>
                <c:pt idx="4">
                  <c:v>-73.678580809205343</c:v>
                </c:pt>
                <c:pt idx="5">
                  <c:v>-72.626640157786127</c:v>
                </c:pt>
                <c:pt idx="6">
                  <c:v>-71.260604226685658</c:v>
                </c:pt>
                <c:pt idx="7">
                  <c:v>-69.580473015903905</c:v>
                </c:pt>
                <c:pt idx="8">
                  <c:v>-67.586246525440899</c:v>
                </c:pt>
                <c:pt idx="9">
                  <c:v>-65.277924755296624</c:v>
                </c:pt>
                <c:pt idx="10">
                  <c:v>-62.655507705471088</c:v>
                </c:pt>
                <c:pt idx="11">
                  <c:v>-59.718995375964305</c:v>
                </c:pt>
                <c:pt idx="12">
                  <c:v>-56.468387766776253</c:v>
                </c:pt>
                <c:pt idx="13">
                  <c:v>-52.903684877906933</c:v>
                </c:pt>
                <c:pt idx="14">
                  <c:v>-49.024886709356366</c:v>
                </c:pt>
                <c:pt idx="15">
                  <c:v>-44.831993261124538</c:v>
                </c:pt>
                <c:pt idx="16">
                  <c:v>-40.325004533211434</c:v>
                </c:pt>
                <c:pt idx="17">
                  <c:v>-35.503920525617076</c:v>
                </c:pt>
                <c:pt idx="18">
                  <c:v>-30.368741238341464</c:v>
                </c:pt>
                <c:pt idx="19">
                  <c:v>-24.91946667138459</c:v>
                </c:pt>
                <c:pt idx="20">
                  <c:v>-19.112460271660325</c:v>
                </c:pt>
                <c:pt idx="21">
                  <c:v>-12.502607090720394</c:v>
                </c:pt>
                <c:pt idx="22">
                  <c:v>-4.9735063598167475</c:v>
                </c:pt>
                <c:pt idx="23">
                  <c:v>3.4748419210506842</c:v>
                </c:pt>
                <c:pt idx="24">
                  <c:v>12.842437751881878</c:v>
                </c:pt>
                <c:pt idx="25">
                  <c:v>23.12928113267683</c:v>
                </c:pt>
                <c:pt idx="26">
                  <c:v>34.335372063435535</c:v>
                </c:pt>
                <c:pt idx="27">
                  <c:v>46.460710544157941</c:v>
                </c:pt>
                <c:pt idx="28">
                  <c:v>59.505296574844159</c:v>
                </c:pt>
                <c:pt idx="29">
                  <c:v>73.469130155494128</c:v>
                </c:pt>
                <c:pt idx="30">
                  <c:v>88.352211286107803</c:v>
                </c:pt>
                <c:pt idx="31">
                  <c:v>104.15453996668529</c:v>
                </c:pt>
                <c:pt idx="32">
                  <c:v>120.87611619722654</c:v>
                </c:pt>
                <c:pt idx="33">
                  <c:v>138.51693997773154</c:v>
                </c:pt>
                <c:pt idx="34">
                  <c:v>157.07701130820027</c:v>
                </c:pt>
                <c:pt idx="35">
                  <c:v>176.5563301886327</c:v>
                </c:pt>
                <c:pt idx="36">
                  <c:v>196.95489661902897</c:v>
                </c:pt>
                <c:pt idx="37">
                  <c:v>218.27271059938897</c:v>
                </c:pt>
                <c:pt idx="38">
                  <c:v>240.50977212971267</c:v>
                </c:pt>
                <c:pt idx="39">
                  <c:v>263.66608121000024</c:v>
                </c:pt>
                <c:pt idx="40">
                  <c:v>287.74163784025149</c:v>
                </c:pt>
                <c:pt idx="41">
                  <c:v>312.7364420204666</c:v>
                </c:pt>
                <c:pt idx="42">
                  <c:v>338.65049375064535</c:v>
                </c:pt>
                <c:pt idx="43">
                  <c:v>365.48379303078792</c:v>
                </c:pt>
                <c:pt idx="44">
                  <c:v>393.23633986089402</c:v>
                </c:pt>
                <c:pt idx="45">
                  <c:v>421.9081342409641</c:v>
                </c:pt>
                <c:pt idx="46">
                  <c:v>451.49917617099794</c:v>
                </c:pt>
                <c:pt idx="47">
                  <c:v>482.00946565099548</c:v>
                </c:pt>
                <c:pt idx="48">
                  <c:v>513.43900268095672</c:v>
                </c:pt>
                <c:pt idx="49">
                  <c:v>545.78778726088183</c:v>
                </c:pt>
                <c:pt idx="50">
                  <c:v>579.05581939077069</c:v>
                </c:pt>
                <c:pt idx="51">
                  <c:v>613.24309907062332</c:v>
                </c:pt>
                <c:pt idx="52">
                  <c:v>648.3496263004397</c:v>
                </c:pt>
                <c:pt idx="53">
                  <c:v>684.3754010802196</c:v>
                </c:pt>
                <c:pt idx="54">
                  <c:v>721.32042340996327</c:v>
                </c:pt>
                <c:pt idx="55">
                  <c:v>759.18469328967092</c:v>
                </c:pt>
                <c:pt idx="56">
                  <c:v>797.96821071934244</c:v>
                </c:pt>
                <c:pt idx="57">
                  <c:v>837.6709756989776</c:v>
                </c:pt>
                <c:pt idx="58">
                  <c:v>878.29298822857652</c:v>
                </c:pt>
                <c:pt idx="59">
                  <c:v>919.83424830813897</c:v>
                </c:pt>
                <c:pt idx="60">
                  <c:v>962.29475593766529</c:v>
                </c:pt>
                <c:pt idx="61">
                  <c:v>1005.6745111171552</c:v>
                </c:pt>
                <c:pt idx="62">
                  <c:v>1049.9735138466092</c:v>
                </c:pt>
                <c:pt idx="63">
                  <c:v>1095.1917641260268</c:v>
                </c:pt>
                <c:pt idx="64">
                  <c:v>1141.3292619554086</c:v>
                </c:pt>
                <c:pt idx="65">
                  <c:v>1188.3860073347532</c:v>
                </c:pt>
                <c:pt idx="66">
                  <c:v>1236.3620002640628</c:v>
                </c:pt>
                <c:pt idx="67">
                  <c:v>1285.2572407433352</c:v>
                </c:pt>
                <c:pt idx="68">
                  <c:v>1335.0717287725718</c:v>
                </c:pt>
                <c:pt idx="69">
                  <c:v>1385.8054643517717</c:v>
                </c:pt>
                <c:pt idx="70">
                  <c:v>1437.4584474809353</c:v>
                </c:pt>
                <c:pt idx="71">
                  <c:v>1490.0306781600634</c:v>
                </c:pt>
                <c:pt idx="72">
                  <c:v>1543.5221563891544</c:v>
                </c:pt>
                <c:pt idx="73">
                  <c:v>1597.9328821682102</c:v>
                </c:pt>
                <c:pt idx="74">
                  <c:v>1653.2628554972287</c:v>
                </c:pt>
                <c:pt idx="75">
                  <c:v>1709.5120763762118</c:v>
                </c:pt>
                <c:pt idx="76">
                  <c:v>1766.6805448051578</c:v>
                </c:pt>
                <c:pt idx="77">
                  <c:v>1824.7682607840675</c:v>
                </c:pt>
                <c:pt idx="78">
                  <c:v>1883.7752243129423</c:v>
                </c:pt>
                <c:pt idx="79">
                  <c:v>1943.7014353917805</c:v>
                </c:pt>
                <c:pt idx="80">
                  <c:v>2004.5468940205817</c:v>
                </c:pt>
                <c:pt idx="81">
                  <c:v>2066.3116001993467</c:v>
                </c:pt>
                <c:pt idx="82">
                  <c:v>2128.9955539280759</c:v>
                </c:pt>
                <c:pt idx="83">
                  <c:v>2192.5987552067681</c:v>
                </c:pt>
                <c:pt idx="84">
                  <c:v>2257.1212040354253</c:v>
                </c:pt>
                <c:pt idx="85">
                  <c:v>2322.5629004140451</c:v>
                </c:pt>
                <c:pt idx="86">
                  <c:v>2388.9238443426298</c:v>
                </c:pt>
                <c:pt idx="87">
                  <c:v>2456.2040358211771</c:v>
                </c:pt>
                <c:pt idx="88">
                  <c:v>2524.4034748496879</c:v>
                </c:pt>
                <c:pt idx="89">
                  <c:v>2593.5221614281641</c:v>
                </c:pt>
                <c:pt idx="90">
                  <c:v>2663.5600955566024</c:v>
                </c:pt>
                <c:pt idx="91">
                  <c:v>2734.5172772350056</c:v>
                </c:pt>
                <c:pt idx="92">
                  <c:v>2806.3937064633719</c:v>
                </c:pt>
                <c:pt idx="93">
                  <c:v>2879.1893832417031</c:v>
                </c:pt>
                <c:pt idx="94">
                  <c:v>2952.9043075699965</c:v>
                </c:pt>
                <c:pt idx="95">
                  <c:v>3027.5384794482552</c:v>
                </c:pt>
                <c:pt idx="96">
                  <c:v>3103.0918988764761</c:v>
                </c:pt>
                <c:pt idx="97">
                  <c:v>3179.5645658546609</c:v>
                </c:pt>
                <c:pt idx="98">
                  <c:v>3256.9564803828102</c:v>
                </c:pt>
                <c:pt idx="99">
                  <c:v>3335.2676424609226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-655.13190749195746</c:v>
                </c:pt>
                <c:pt idx="1">
                  <c:v>-628.02519477230248</c:v>
                </c:pt>
                <c:pt idx="2">
                  <c:v>-600.91848205264773</c:v>
                </c:pt>
                <c:pt idx="3">
                  <c:v>-573.81176933299287</c:v>
                </c:pt>
                <c:pt idx="4">
                  <c:v>-546.705056613338</c:v>
                </c:pt>
                <c:pt idx="5">
                  <c:v>-519.59834389368302</c:v>
                </c:pt>
                <c:pt idx="6">
                  <c:v>-492.49163117402821</c:v>
                </c:pt>
                <c:pt idx="7">
                  <c:v>-465.38491845437335</c:v>
                </c:pt>
                <c:pt idx="8">
                  <c:v>-438.27820573471848</c:v>
                </c:pt>
                <c:pt idx="9">
                  <c:v>-411.17149301506356</c:v>
                </c:pt>
                <c:pt idx="10">
                  <c:v>-384.06478029540875</c:v>
                </c:pt>
                <c:pt idx="11">
                  <c:v>-356.95806757575389</c:v>
                </c:pt>
                <c:pt idx="12">
                  <c:v>-329.85135485609902</c:v>
                </c:pt>
                <c:pt idx="13">
                  <c:v>-302.7446421364441</c:v>
                </c:pt>
                <c:pt idx="14">
                  <c:v>-275.63792941678929</c:v>
                </c:pt>
                <c:pt idx="15">
                  <c:v>-248.53121669713443</c:v>
                </c:pt>
                <c:pt idx="16">
                  <c:v>-221.42450397747953</c:v>
                </c:pt>
                <c:pt idx="17">
                  <c:v>-194.31779125782464</c:v>
                </c:pt>
                <c:pt idx="18">
                  <c:v>-167.2110785381698</c:v>
                </c:pt>
                <c:pt idx="19">
                  <c:v>-140.10436581851496</c:v>
                </c:pt>
                <c:pt idx="20">
                  <c:v>-112.99765309886006</c:v>
                </c:pt>
                <c:pt idx="21">
                  <c:v>-85.890940379205162</c:v>
                </c:pt>
                <c:pt idx="22">
                  <c:v>-58.784227659550382</c:v>
                </c:pt>
                <c:pt idx="23">
                  <c:v>-31.677514939895481</c:v>
                </c:pt>
                <c:pt idx="24">
                  <c:v>-4.5708022202405845</c:v>
                </c:pt>
                <c:pt idx="25">
                  <c:v>22.535910499414314</c:v>
                </c:pt>
                <c:pt idx="26">
                  <c:v>49.642623219069208</c:v>
                </c:pt>
                <c:pt idx="27">
                  <c:v>76.749335938723988</c:v>
                </c:pt>
                <c:pt idx="28">
                  <c:v>103.85604865837888</c:v>
                </c:pt>
                <c:pt idx="29">
                  <c:v>130.96276137803378</c:v>
                </c:pt>
                <c:pt idx="30">
                  <c:v>158.06947409768856</c:v>
                </c:pt>
                <c:pt idx="31">
                  <c:v>185.17618681734345</c:v>
                </c:pt>
                <c:pt idx="32">
                  <c:v>212.28289953699837</c:v>
                </c:pt>
                <c:pt idx="33">
                  <c:v>239.38961225665327</c:v>
                </c:pt>
                <c:pt idx="34">
                  <c:v>266.49632497630813</c:v>
                </c:pt>
                <c:pt idx="35">
                  <c:v>293.60303769596294</c:v>
                </c:pt>
                <c:pt idx="36">
                  <c:v>320.7097504156178</c:v>
                </c:pt>
                <c:pt idx="37">
                  <c:v>347.81646313527273</c:v>
                </c:pt>
                <c:pt idx="38">
                  <c:v>374.92317585492754</c:v>
                </c:pt>
                <c:pt idx="39">
                  <c:v>402.0298885745824</c:v>
                </c:pt>
                <c:pt idx="40">
                  <c:v>429.13660129423732</c:v>
                </c:pt>
                <c:pt idx="41">
                  <c:v>456.24331401389219</c:v>
                </c:pt>
                <c:pt idx="42">
                  <c:v>483.35002673354711</c:v>
                </c:pt>
                <c:pt idx="43">
                  <c:v>510.45673945320198</c:v>
                </c:pt>
                <c:pt idx="44">
                  <c:v>537.56345217285661</c:v>
                </c:pt>
                <c:pt idx="45">
                  <c:v>564.67016489251159</c:v>
                </c:pt>
                <c:pt idx="46">
                  <c:v>591.77687761216646</c:v>
                </c:pt>
                <c:pt idx="47">
                  <c:v>618.88359033182132</c:v>
                </c:pt>
                <c:pt idx="48">
                  <c:v>645.9903030514763</c:v>
                </c:pt>
                <c:pt idx="49">
                  <c:v>673.09701577113117</c:v>
                </c:pt>
                <c:pt idx="50">
                  <c:v>700.20372849078603</c:v>
                </c:pt>
                <c:pt idx="51">
                  <c:v>727.3104412104409</c:v>
                </c:pt>
                <c:pt idx="52">
                  <c:v>754.41715393009588</c:v>
                </c:pt>
                <c:pt idx="53">
                  <c:v>781.52386664975052</c:v>
                </c:pt>
                <c:pt idx="54">
                  <c:v>808.63057936940538</c:v>
                </c:pt>
                <c:pt idx="55">
                  <c:v>835.73729208906025</c:v>
                </c:pt>
                <c:pt idx="56">
                  <c:v>862.84400480871523</c:v>
                </c:pt>
                <c:pt idx="57">
                  <c:v>889.95071752837009</c:v>
                </c:pt>
                <c:pt idx="58">
                  <c:v>917.05743024802496</c:v>
                </c:pt>
                <c:pt idx="59">
                  <c:v>944.16414296767994</c:v>
                </c:pt>
                <c:pt idx="60">
                  <c:v>971.27085568733457</c:v>
                </c:pt>
                <c:pt idx="61">
                  <c:v>998.37756840698944</c:v>
                </c:pt>
                <c:pt idx="62">
                  <c:v>1025.4842811266444</c:v>
                </c:pt>
                <c:pt idx="63">
                  <c:v>1052.5909938462992</c:v>
                </c:pt>
                <c:pt idx="64">
                  <c:v>1079.6977065659541</c:v>
                </c:pt>
                <c:pt idx="65">
                  <c:v>1106.8044192856089</c:v>
                </c:pt>
                <c:pt idx="66">
                  <c:v>1133.9111320052641</c:v>
                </c:pt>
                <c:pt idx="67">
                  <c:v>1161.0178447249186</c:v>
                </c:pt>
                <c:pt idx="68">
                  <c:v>1188.1245574445738</c:v>
                </c:pt>
                <c:pt idx="69">
                  <c:v>1215.2312701642286</c:v>
                </c:pt>
                <c:pt idx="70">
                  <c:v>1242.3379828838831</c:v>
                </c:pt>
                <c:pt idx="71">
                  <c:v>1269.4446956035383</c:v>
                </c:pt>
                <c:pt idx="72">
                  <c:v>1296.5514083231931</c:v>
                </c:pt>
                <c:pt idx="73">
                  <c:v>1323.6581210428481</c:v>
                </c:pt>
                <c:pt idx="74">
                  <c:v>1350.7648337625028</c:v>
                </c:pt>
                <c:pt idx="75">
                  <c:v>1377.8715464821578</c:v>
                </c:pt>
                <c:pt idx="76">
                  <c:v>1404.9782592018125</c:v>
                </c:pt>
                <c:pt idx="77">
                  <c:v>1432.0849719214673</c:v>
                </c:pt>
                <c:pt idx="78">
                  <c:v>1459.1916846411223</c:v>
                </c:pt>
                <c:pt idx="79">
                  <c:v>1486.2983973607775</c:v>
                </c:pt>
                <c:pt idx="80">
                  <c:v>1513.4051100804322</c:v>
                </c:pt>
                <c:pt idx="81">
                  <c:v>1540.5118228000867</c:v>
                </c:pt>
                <c:pt idx="82">
                  <c:v>1567.618535519742</c:v>
                </c:pt>
                <c:pt idx="83">
                  <c:v>1594.7252482393967</c:v>
                </c:pt>
                <c:pt idx="84">
                  <c:v>1621.8319609590517</c:v>
                </c:pt>
                <c:pt idx="85">
                  <c:v>1648.9386736787064</c:v>
                </c:pt>
                <c:pt idx="86">
                  <c:v>1676.0453863983616</c:v>
                </c:pt>
                <c:pt idx="87">
                  <c:v>1703.1520991180162</c:v>
                </c:pt>
                <c:pt idx="88">
                  <c:v>1730.2588118376709</c:v>
                </c:pt>
                <c:pt idx="89">
                  <c:v>1757.3655245573259</c:v>
                </c:pt>
                <c:pt idx="90">
                  <c:v>1784.4722372769806</c:v>
                </c:pt>
                <c:pt idx="91">
                  <c:v>1811.5789499966359</c:v>
                </c:pt>
                <c:pt idx="92">
                  <c:v>1838.6856627162904</c:v>
                </c:pt>
                <c:pt idx="93">
                  <c:v>1865.7923754359456</c:v>
                </c:pt>
                <c:pt idx="94">
                  <c:v>1892.8990881556003</c:v>
                </c:pt>
                <c:pt idx="95">
                  <c:v>1920.0058008752553</c:v>
                </c:pt>
                <c:pt idx="96">
                  <c:v>1947.1125135949101</c:v>
                </c:pt>
                <c:pt idx="97">
                  <c:v>1974.2192263145646</c:v>
                </c:pt>
                <c:pt idx="98">
                  <c:v>2001.3259390342198</c:v>
                </c:pt>
                <c:pt idx="99">
                  <c:v>2028.4326517538746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2797.390526352724</c:v>
                </c:pt>
                <c:pt idx="1">
                  <c:v>2797.390526352724</c:v>
                </c:pt>
                <c:pt idx="2">
                  <c:v>2797.3960417993321</c:v>
                </c:pt>
                <c:pt idx="3">
                  <c:v>2797.4166826636006</c:v>
                </c:pt>
                <c:pt idx="4">
                  <c:v>2797.4526231069299</c:v>
                </c:pt>
                <c:pt idx="5">
                  <c:v>2797.5038631293191</c:v>
                </c:pt>
                <c:pt idx="6">
                  <c:v>2797.5704027307693</c:v>
                </c:pt>
                <c:pt idx="7">
                  <c:v>2797.6522419112803</c:v>
                </c:pt>
                <c:pt idx="8">
                  <c:v>2797.7493806708517</c:v>
                </c:pt>
                <c:pt idx="9">
                  <c:v>2797.861819009483</c:v>
                </c:pt>
                <c:pt idx="10">
                  <c:v>2797.9895569271753</c:v>
                </c:pt>
                <c:pt idx="11">
                  <c:v>2798.1325944239279</c:v>
                </c:pt>
                <c:pt idx="12">
                  <c:v>2798.290931499741</c:v>
                </c:pt>
                <c:pt idx="13">
                  <c:v>2798.4645681546149</c:v>
                </c:pt>
                <c:pt idx="14">
                  <c:v>2798.6535043885488</c:v>
                </c:pt>
                <c:pt idx="15">
                  <c:v>2798.8577402015439</c:v>
                </c:pt>
                <c:pt idx="16">
                  <c:v>2799.0772755935986</c:v>
                </c:pt>
                <c:pt idx="17">
                  <c:v>2799.3121105647147</c:v>
                </c:pt>
                <c:pt idx="18">
                  <c:v>2799.5622451148911</c:v>
                </c:pt>
                <c:pt idx="19">
                  <c:v>2799.8276792441279</c:v>
                </c:pt>
                <c:pt idx="20">
                  <c:v>2800.1243347827321</c:v>
                </c:pt>
                <c:pt idx="21">
                  <c:v>2800.6146224660929</c:v>
                </c:pt>
                <c:pt idx="22">
                  <c:v>2801.3410138726595</c:v>
                </c:pt>
                <c:pt idx="23">
                  <c:v>2802.3035090024314</c:v>
                </c:pt>
                <c:pt idx="24">
                  <c:v>2803.5021078554091</c:v>
                </c:pt>
                <c:pt idx="25">
                  <c:v>2804.9368104315918</c:v>
                </c:pt>
                <c:pt idx="26">
                  <c:v>2806.6076167309807</c:v>
                </c:pt>
                <c:pt idx="27">
                  <c:v>2808.514526753575</c:v>
                </c:pt>
                <c:pt idx="28">
                  <c:v>2810.6575404993746</c:v>
                </c:pt>
                <c:pt idx="29">
                  <c:v>2813.0366579683805</c:v>
                </c:pt>
                <c:pt idx="30">
                  <c:v>2815.6518791605918</c:v>
                </c:pt>
                <c:pt idx="31">
                  <c:v>2818.5032040760084</c:v>
                </c:pt>
                <c:pt idx="32">
                  <c:v>2821.5906327146304</c:v>
                </c:pt>
                <c:pt idx="33">
                  <c:v>2824.9141650764586</c:v>
                </c:pt>
                <c:pt idx="34">
                  <c:v>2828.4738011614922</c:v>
                </c:pt>
                <c:pt idx="35">
                  <c:v>2832.2695409697312</c:v>
                </c:pt>
                <c:pt idx="36">
                  <c:v>2836.301384501176</c:v>
                </c:pt>
                <c:pt idx="37">
                  <c:v>2840.5693317558266</c:v>
                </c:pt>
                <c:pt idx="38">
                  <c:v>2845.0733827336826</c:v>
                </c:pt>
                <c:pt idx="39">
                  <c:v>2849.8135374347444</c:v>
                </c:pt>
                <c:pt idx="40">
                  <c:v>2854.7897958590115</c:v>
                </c:pt>
                <c:pt idx="41">
                  <c:v>2860.0021580064836</c:v>
                </c:pt>
                <c:pt idx="42">
                  <c:v>2865.4506238771619</c:v>
                </c:pt>
                <c:pt idx="43">
                  <c:v>2871.135193471046</c:v>
                </c:pt>
                <c:pt idx="44">
                  <c:v>2877.055866788136</c:v>
                </c:pt>
                <c:pt idx="45">
                  <c:v>2883.2126438284308</c:v>
                </c:pt>
                <c:pt idx="46">
                  <c:v>2889.6055245919315</c:v>
                </c:pt>
                <c:pt idx="47">
                  <c:v>2896.234509078638</c:v>
                </c:pt>
                <c:pt idx="48">
                  <c:v>2903.0995972885498</c:v>
                </c:pt>
                <c:pt idx="49">
                  <c:v>2910.2007892216675</c:v>
                </c:pt>
                <c:pt idx="50">
                  <c:v>2917.5380848779905</c:v>
                </c:pt>
                <c:pt idx="51">
                  <c:v>2925.1114842575194</c:v>
                </c:pt>
                <c:pt idx="52">
                  <c:v>2932.920987360254</c:v>
                </c:pt>
                <c:pt idx="53">
                  <c:v>2940.9665941861936</c:v>
                </c:pt>
                <c:pt idx="54">
                  <c:v>2949.2483047353394</c:v>
                </c:pt>
                <c:pt idx="55">
                  <c:v>2957.7661190076901</c:v>
                </c:pt>
                <c:pt idx="56">
                  <c:v>2966.5200370032471</c:v>
                </c:pt>
                <c:pt idx="57">
                  <c:v>2975.5100587220095</c:v>
                </c:pt>
                <c:pt idx="58">
                  <c:v>2984.7361841639772</c:v>
                </c:pt>
                <c:pt idx="59">
                  <c:v>2994.1984133291512</c:v>
                </c:pt>
                <c:pt idx="60">
                  <c:v>3003.8967462175301</c:v>
                </c:pt>
                <c:pt idx="61">
                  <c:v>3013.8311828291148</c:v>
                </c:pt>
                <c:pt idx="62">
                  <c:v>3024.0017231639049</c:v>
                </c:pt>
                <c:pt idx="63">
                  <c:v>3034.4083672219012</c:v>
                </c:pt>
                <c:pt idx="64">
                  <c:v>3045.051115003103</c:v>
                </c:pt>
                <c:pt idx="65">
                  <c:v>3055.92996650751</c:v>
                </c:pt>
                <c:pt idx="66">
                  <c:v>3067.0449217351229</c:v>
                </c:pt>
                <c:pt idx="67">
                  <c:v>3078.3959806859411</c:v>
                </c:pt>
                <c:pt idx="68">
                  <c:v>3089.9831433599652</c:v>
                </c:pt>
                <c:pt idx="69">
                  <c:v>3101.8064097571946</c:v>
                </c:pt>
                <c:pt idx="70">
                  <c:v>3113.8657798776294</c:v>
                </c:pt>
                <c:pt idx="71">
                  <c:v>3126.1612537212704</c:v>
                </c:pt>
                <c:pt idx="72">
                  <c:v>3138.6928312881164</c:v>
                </c:pt>
                <c:pt idx="73">
                  <c:v>3151.4605125781691</c:v>
                </c:pt>
                <c:pt idx="74">
                  <c:v>3164.4642975914257</c:v>
                </c:pt>
                <c:pt idx="75">
                  <c:v>3177.7041863278896</c:v>
                </c:pt>
                <c:pt idx="76">
                  <c:v>3191.1801787875579</c:v>
                </c:pt>
                <c:pt idx="77">
                  <c:v>3204.8922749704325</c:v>
                </c:pt>
                <c:pt idx="78">
                  <c:v>3218.8404748765124</c:v>
                </c:pt>
                <c:pt idx="79">
                  <c:v>3233.0247785057982</c:v>
                </c:pt>
                <c:pt idx="80">
                  <c:v>3247.4451858582893</c:v>
                </c:pt>
                <c:pt idx="81">
                  <c:v>3262.1016969339857</c:v>
                </c:pt>
                <c:pt idx="82">
                  <c:v>3276.994311732888</c:v>
                </c:pt>
                <c:pt idx="83">
                  <c:v>3292.1230302549961</c:v>
                </c:pt>
                <c:pt idx="84">
                  <c:v>3307.4878525003096</c:v>
                </c:pt>
                <c:pt idx="85">
                  <c:v>3323.0887784688284</c:v>
                </c:pt>
                <c:pt idx="86">
                  <c:v>3338.9258081605535</c:v>
                </c:pt>
                <c:pt idx="87">
                  <c:v>3354.998941575484</c:v>
                </c:pt>
                <c:pt idx="88">
                  <c:v>3371.3081787136198</c:v>
                </c:pt>
                <c:pt idx="89">
                  <c:v>3387.8535195749614</c:v>
                </c:pt>
                <c:pt idx="90">
                  <c:v>3404.6349641595084</c:v>
                </c:pt>
                <c:pt idx="91">
                  <c:v>3421.6525124672612</c:v>
                </c:pt>
                <c:pt idx="92">
                  <c:v>3438.9061644982194</c:v>
                </c:pt>
                <c:pt idx="93">
                  <c:v>3456.3959202523838</c:v>
                </c:pt>
                <c:pt idx="94">
                  <c:v>3474.1217797297531</c:v>
                </c:pt>
                <c:pt idx="95">
                  <c:v>3492.0837429303283</c:v>
                </c:pt>
                <c:pt idx="96">
                  <c:v>3510.2818098541088</c:v>
                </c:pt>
                <c:pt idx="97">
                  <c:v>3528.7159805010951</c:v>
                </c:pt>
                <c:pt idx="98">
                  <c:v>3547.3862548712873</c:v>
                </c:pt>
                <c:pt idx="99">
                  <c:v>3566.2926329646848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-737.93723699379791</c:v>
                </c:pt>
                <c:pt idx="1">
                  <c:v>-712.39905326965595</c:v>
                </c:pt>
                <c:pt idx="2">
                  <c:v>-686.86086954551399</c:v>
                </c:pt>
                <c:pt idx="3">
                  <c:v>-661.32268582137192</c:v>
                </c:pt>
                <c:pt idx="4">
                  <c:v>-635.78450209722996</c:v>
                </c:pt>
                <c:pt idx="5">
                  <c:v>-610.24631837308789</c:v>
                </c:pt>
                <c:pt idx="6">
                  <c:v>-584.70813464894604</c:v>
                </c:pt>
                <c:pt idx="7">
                  <c:v>-559.16995092480397</c:v>
                </c:pt>
                <c:pt idx="8">
                  <c:v>-533.6317672006619</c:v>
                </c:pt>
                <c:pt idx="9">
                  <c:v>-508.09358347652</c:v>
                </c:pt>
                <c:pt idx="10">
                  <c:v>-482.55539975237798</c:v>
                </c:pt>
                <c:pt idx="11">
                  <c:v>-457.01721602823596</c:v>
                </c:pt>
                <c:pt idx="12">
                  <c:v>-431.47903230409401</c:v>
                </c:pt>
                <c:pt idx="13">
                  <c:v>-405.94084857995199</c:v>
                </c:pt>
                <c:pt idx="14">
                  <c:v>-380.40266485580997</c:v>
                </c:pt>
                <c:pt idx="15">
                  <c:v>-354.86448113166796</c:v>
                </c:pt>
                <c:pt idx="16">
                  <c:v>-329.326297407526</c:v>
                </c:pt>
                <c:pt idx="17">
                  <c:v>-303.78811368338404</c:v>
                </c:pt>
                <c:pt idx="18">
                  <c:v>-278.24992995924202</c:v>
                </c:pt>
                <c:pt idx="19">
                  <c:v>-252.71174623510004</c:v>
                </c:pt>
                <c:pt idx="20">
                  <c:v>-227.17356251095799</c:v>
                </c:pt>
                <c:pt idx="21">
                  <c:v>-201.63537878681603</c:v>
                </c:pt>
                <c:pt idx="22">
                  <c:v>-176.09719506267399</c:v>
                </c:pt>
                <c:pt idx="23">
                  <c:v>-150.55901133853197</c:v>
                </c:pt>
                <c:pt idx="24">
                  <c:v>-125.02082761439006</c:v>
                </c:pt>
                <c:pt idx="25">
                  <c:v>-99.482643890248028</c:v>
                </c:pt>
                <c:pt idx="26">
                  <c:v>-73.944460166105998</c:v>
                </c:pt>
                <c:pt idx="27">
                  <c:v>-48.406276441964089</c:v>
                </c:pt>
                <c:pt idx="28">
                  <c:v>-22.868092717822059</c:v>
                </c:pt>
                <c:pt idx="29">
                  <c:v>2.6700910063199701</c:v>
                </c:pt>
                <c:pt idx="30">
                  <c:v>28.208274730461998</c:v>
                </c:pt>
                <c:pt idx="31">
                  <c:v>53.746458454603911</c:v>
                </c:pt>
                <c:pt idx="32">
                  <c:v>79.284642178745941</c:v>
                </c:pt>
                <c:pt idx="33">
                  <c:v>104.82282590288797</c:v>
                </c:pt>
                <c:pt idx="34">
                  <c:v>130.36100962702989</c:v>
                </c:pt>
                <c:pt idx="35">
                  <c:v>155.8991933511719</c:v>
                </c:pt>
                <c:pt idx="36">
                  <c:v>181.43737707531395</c:v>
                </c:pt>
                <c:pt idx="37">
                  <c:v>206.97556079945596</c:v>
                </c:pt>
                <c:pt idx="38">
                  <c:v>232.51374452359789</c:v>
                </c:pt>
                <c:pt idx="39">
                  <c:v>258.05192824773991</c:v>
                </c:pt>
                <c:pt idx="40">
                  <c:v>283.59011197188192</c:v>
                </c:pt>
                <c:pt idx="41">
                  <c:v>309.12829569602383</c:v>
                </c:pt>
                <c:pt idx="42">
                  <c:v>334.6664794201659</c:v>
                </c:pt>
                <c:pt idx="43">
                  <c:v>360.2046631443078</c:v>
                </c:pt>
                <c:pt idx="44">
                  <c:v>385.74284686844993</c:v>
                </c:pt>
                <c:pt idx="45">
                  <c:v>411.28103059259183</c:v>
                </c:pt>
                <c:pt idx="46">
                  <c:v>436.81921431673402</c:v>
                </c:pt>
                <c:pt idx="47">
                  <c:v>462.35739804087592</c:v>
                </c:pt>
                <c:pt idx="48">
                  <c:v>487.89558176501782</c:v>
                </c:pt>
                <c:pt idx="49">
                  <c:v>513.43376548916001</c:v>
                </c:pt>
                <c:pt idx="50">
                  <c:v>538.97194921330185</c:v>
                </c:pt>
                <c:pt idx="51">
                  <c:v>564.51013293744381</c:v>
                </c:pt>
                <c:pt idx="52">
                  <c:v>590.04831666158589</c:v>
                </c:pt>
                <c:pt idx="53">
                  <c:v>615.58650038572785</c:v>
                </c:pt>
                <c:pt idx="54">
                  <c:v>641.1246841098698</c:v>
                </c:pt>
                <c:pt idx="55">
                  <c:v>666.66286783401188</c:v>
                </c:pt>
                <c:pt idx="56">
                  <c:v>692.20105155815384</c:v>
                </c:pt>
                <c:pt idx="57">
                  <c:v>717.73923528229568</c:v>
                </c:pt>
                <c:pt idx="58">
                  <c:v>743.27741900643787</c:v>
                </c:pt>
                <c:pt idx="59">
                  <c:v>768.81560273057983</c:v>
                </c:pt>
                <c:pt idx="60">
                  <c:v>794.3537864547219</c:v>
                </c:pt>
                <c:pt idx="61">
                  <c:v>819.89197017886386</c:v>
                </c:pt>
                <c:pt idx="62">
                  <c:v>845.43015390300582</c:v>
                </c:pt>
                <c:pt idx="63">
                  <c:v>870.96833762714789</c:v>
                </c:pt>
                <c:pt idx="64">
                  <c:v>896.50652135128985</c:v>
                </c:pt>
                <c:pt idx="65">
                  <c:v>922.04470507543169</c:v>
                </c:pt>
                <c:pt idx="66">
                  <c:v>947.58288879957388</c:v>
                </c:pt>
                <c:pt idx="67">
                  <c:v>973.12107252371584</c:v>
                </c:pt>
                <c:pt idx="68">
                  <c:v>998.65925624785768</c:v>
                </c:pt>
                <c:pt idx="69">
                  <c:v>1024.1974399719998</c:v>
                </c:pt>
                <c:pt idx="70">
                  <c:v>1049.7356236961418</c:v>
                </c:pt>
                <c:pt idx="71">
                  <c:v>1075.2738074202841</c:v>
                </c:pt>
                <c:pt idx="72">
                  <c:v>1100.8119911444257</c:v>
                </c:pt>
                <c:pt idx="73">
                  <c:v>1126.3501748685678</c:v>
                </c:pt>
                <c:pt idx="74">
                  <c:v>1151.8883585927099</c:v>
                </c:pt>
                <c:pt idx="75">
                  <c:v>1177.4265423168517</c:v>
                </c:pt>
                <c:pt idx="76">
                  <c:v>1202.9647260409938</c:v>
                </c:pt>
                <c:pt idx="77">
                  <c:v>1228.5029097651359</c:v>
                </c:pt>
                <c:pt idx="78">
                  <c:v>1254.0410934892777</c:v>
                </c:pt>
                <c:pt idx="79">
                  <c:v>1279.5792772134198</c:v>
                </c:pt>
                <c:pt idx="80">
                  <c:v>1305.1174609375619</c:v>
                </c:pt>
                <c:pt idx="81">
                  <c:v>1330.6556446617037</c:v>
                </c:pt>
                <c:pt idx="82">
                  <c:v>1356.1938283858458</c:v>
                </c:pt>
                <c:pt idx="83">
                  <c:v>1381.7320121099874</c:v>
                </c:pt>
                <c:pt idx="84">
                  <c:v>1407.2701958341295</c:v>
                </c:pt>
                <c:pt idx="85">
                  <c:v>1432.8083795582718</c:v>
                </c:pt>
                <c:pt idx="86">
                  <c:v>1458.3465632824134</c:v>
                </c:pt>
                <c:pt idx="87">
                  <c:v>1483.8847470065555</c:v>
                </c:pt>
                <c:pt idx="88">
                  <c:v>1509.4229307306978</c:v>
                </c:pt>
                <c:pt idx="89">
                  <c:v>1534.9611144548394</c:v>
                </c:pt>
                <c:pt idx="90">
                  <c:v>1560.4992981789815</c:v>
                </c:pt>
                <c:pt idx="91">
                  <c:v>1586.0374819031238</c:v>
                </c:pt>
                <c:pt idx="92">
                  <c:v>1611.5756656272658</c:v>
                </c:pt>
                <c:pt idx="93">
                  <c:v>1637.1138493514075</c:v>
                </c:pt>
                <c:pt idx="94">
                  <c:v>1662.6520330755498</c:v>
                </c:pt>
                <c:pt idx="95">
                  <c:v>1688.1902167996918</c:v>
                </c:pt>
                <c:pt idx="96">
                  <c:v>1713.7284005238334</c:v>
                </c:pt>
                <c:pt idx="97">
                  <c:v>1739.2665842479755</c:v>
                </c:pt>
                <c:pt idx="98">
                  <c:v>1764.8047679721178</c:v>
                </c:pt>
                <c:pt idx="99">
                  <c:v>1790.3429516962597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-87.363108714326401</c:v>
                </c:pt>
                <c:pt idx="1">
                  <c:v>-87.363108714326401</c:v>
                </c:pt>
                <c:pt idx="2">
                  <c:v>-87.314405200059724</c:v>
                </c:pt>
                <c:pt idx="3">
                  <c:v>-87.033240397883191</c:v>
                </c:pt>
                <c:pt idx="4">
                  <c:v>-86.50193483378176</c:v>
                </c:pt>
                <c:pt idx="5">
                  <c:v>-85.720488507755505</c:v>
                </c:pt>
                <c:pt idx="6">
                  <c:v>-84.688901419804395</c:v>
                </c:pt>
                <c:pt idx="7">
                  <c:v>-83.407173569928403</c:v>
                </c:pt>
                <c:pt idx="8">
                  <c:v>-81.875304958127558</c:v>
                </c:pt>
                <c:pt idx="9">
                  <c:v>-80.09329558440183</c:v>
                </c:pt>
                <c:pt idx="10">
                  <c:v>-78.061145448751262</c:v>
                </c:pt>
                <c:pt idx="11">
                  <c:v>-75.778854551175826</c:v>
                </c:pt>
                <c:pt idx="12">
                  <c:v>-73.246422891675536</c:v>
                </c:pt>
                <c:pt idx="13">
                  <c:v>-70.463850470250378</c:v>
                </c:pt>
                <c:pt idx="14">
                  <c:v>-67.431137286900352</c:v>
                </c:pt>
                <c:pt idx="15">
                  <c:v>-64.148283341625458</c:v>
                </c:pt>
                <c:pt idx="16">
                  <c:v>-60.615288634425717</c:v>
                </c:pt>
                <c:pt idx="17">
                  <c:v>-56.832153165301115</c:v>
                </c:pt>
                <c:pt idx="18">
                  <c:v>-52.798876934251645</c:v>
                </c:pt>
                <c:pt idx="19">
                  <c:v>-48.515459941277321</c:v>
                </c:pt>
                <c:pt idx="20">
                  <c:v>-43.981902186378129</c:v>
                </c:pt>
                <c:pt idx="21">
                  <c:v>-39.198203669554076</c:v>
                </c:pt>
                <c:pt idx="22">
                  <c:v>-34.164364390805154</c:v>
                </c:pt>
                <c:pt idx="23">
                  <c:v>-28.880384350131372</c:v>
                </c:pt>
                <c:pt idx="24">
                  <c:v>-23.346263547532754</c:v>
                </c:pt>
                <c:pt idx="25">
                  <c:v>-17.219730538480299</c:v>
                </c:pt>
                <c:pt idx="26">
                  <c:v>-10.057276922942471</c:v>
                </c:pt>
                <c:pt idx="27">
                  <c:v>-1.8570973635823549</c:v>
                </c:pt>
                <c:pt idx="28">
                  <c:v>7.3808081396001395</c:v>
                </c:pt>
                <c:pt idx="29">
                  <c:v>17.656439586604971</c:v>
                </c:pt>
                <c:pt idx="30">
                  <c:v>28.969796977432146</c:v>
                </c:pt>
                <c:pt idx="31">
                  <c:v>41.320880312081599</c:v>
                </c:pt>
                <c:pt idx="32">
                  <c:v>54.709689590553445</c:v>
                </c:pt>
                <c:pt idx="33">
                  <c:v>69.13622481284763</c:v>
                </c:pt>
                <c:pt idx="34">
                  <c:v>84.600485978964088</c:v>
                </c:pt>
                <c:pt idx="35">
                  <c:v>101.10247308890294</c:v>
                </c:pt>
                <c:pt idx="36">
                  <c:v>118.64218614266414</c:v>
                </c:pt>
                <c:pt idx="37">
                  <c:v>137.21962514024767</c:v>
                </c:pt>
                <c:pt idx="38">
                  <c:v>156.83479008165347</c:v>
                </c:pt>
                <c:pt idx="39">
                  <c:v>177.48768096688167</c:v>
                </c:pt>
                <c:pt idx="40">
                  <c:v>199.17829779593222</c:v>
                </c:pt>
                <c:pt idx="41">
                  <c:v>221.90664056880502</c:v>
                </c:pt>
                <c:pt idx="42">
                  <c:v>245.67270928550022</c:v>
                </c:pt>
                <c:pt idx="43">
                  <c:v>270.47650394601771</c:v>
                </c:pt>
                <c:pt idx="44">
                  <c:v>296.31802455035773</c:v>
                </c:pt>
                <c:pt idx="45">
                  <c:v>323.19727109851988</c:v>
                </c:pt>
                <c:pt idx="46">
                  <c:v>351.1142435905046</c:v>
                </c:pt>
                <c:pt idx="47">
                  <c:v>380.06894202631133</c:v>
                </c:pt>
                <c:pt idx="48">
                  <c:v>410.06136640594042</c:v>
                </c:pt>
                <c:pt idx="49">
                  <c:v>441.0915167293922</c:v>
                </c:pt>
                <c:pt idx="50">
                  <c:v>473.15939299666599</c:v>
                </c:pt>
                <c:pt idx="51">
                  <c:v>506.26499520776207</c:v>
                </c:pt>
                <c:pt idx="52">
                  <c:v>540.40832336268079</c:v>
                </c:pt>
                <c:pt idx="53">
                  <c:v>575.58937746142169</c:v>
                </c:pt>
                <c:pt idx="54">
                  <c:v>611.80815750398483</c:v>
                </c:pt>
                <c:pt idx="55">
                  <c:v>649.06466349037055</c:v>
                </c:pt>
                <c:pt idx="56">
                  <c:v>687.35889542057839</c:v>
                </c:pt>
                <c:pt idx="57">
                  <c:v>726.69085329460847</c:v>
                </c:pt>
                <c:pt idx="58">
                  <c:v>767.06053711246125</c:v>
                </c:pt>
                <c:pt idx="59">
                  <c:v>808.46794687413603</c:v>
                </c:pt>
                <c:pt idx="60">
                  <c:v>850.91308257963362</c:v>
                </c:pt>
                <c:pt idx="61">
                  <c:v>894.39594422895311</c:v>
                </c:pt>
                <c:pt idx="62">
                  <c:v>938.91653182209484</c:v>
                </c:pt>
                <c:pt idx="63">
                  <c:v>984.47484535905926</c:v>
                </c:pt>
                <c:pt idx="64">
                  <c:v>1031.0708848398458</c:v>
                </c:pt>
                <c:pt idx="65">
                  <c:v>1078.7046502644546</c:v>
                </c:pt>
                <c:pt idx="66">
                  <c:v>1127.3761416328859</c:v>
                </c:pt>
                <c:pt idx="67">
                  <c:v>1177.0853589451397</c:v>
                </c:pt>
                <c:pt idx="68">
                  <c:v>1227.8323022012153</c:v>
                </c:pt>
                <c:pt idx="69">
                  <c:v>1279.6169714011139</c:v>
                </c:pt>
                <c:pt idx="70">
                  <c:v>1332.4393665448347</c:v>
                </c:pt>
                <c:pt idx="71">
                  <c:v>1386.2994876323778</c:v>
                </c:pt>
                <c:pt idx="72">
                  <c:v>1441.1973346637426</c:v>
                </c:pt>
                <c:pt idx="73">
                  <c:v>1497.1329076389304</c:v>
                </c:pt>
                <c:pt idx="74">
                  <c:v>1554.1062065579408</c:v>
                </c:pt>
                <c:pt idx="75">
                  <c:v>1612.1172314207722</c:v>
                </c:pt>
                <c:pt idx="76">
                  <c:v>1671.1659822274275</c:v>
                </c:pt>
                <c:pt idx="77">
                  <c:v>1731.2524589779048</c:v>
                </c:pt>
                <c:pt idx="78">
                  <c:v>1792.3766616722032</c:v>
                </c:pt>
                <c:pt idx="79">
                  <c:v>1854.5385903103254</c:v>
                </c:pt>
                <c:pt idx="80">
                  <c:v>1917.7382448922697</c:v>
                </c:pt>
                <c:pt idx="81">
                  <c:v>1981.9756254180352</c:v>
                </c:pt>
                <c:pt idx="82">
                  <c:v>2047.2507318876244</c:v>
                </c:pt>
                <c:pt idx="83">
                  <c:v>2113.5635643010346</c:v>
                </c:pt>
                <c:pt idx="84">
                  <c:v>2180.9141226582683</c:v>
                </c:pt>
                <c:pt idx="85">
                  <c:v>2249.3024069593243</c:v>
                </c:pt>
                <c:pt idx="86">
                  <c:v>2318.7284172042018</c:v>
                </c:pt>
                <c:pt idx="87">
                  <c:v>2389.1921533929026</c:v>
                </c:pt>
                <c:pt idx="88">
                  <c:v>2460.6936155254252</c:v>
                </c:pt>
                <c:pt idx="89">
                  <c:v>2533.2328036017698</c:v>
                </c:pt>
                <c:pt idx="90">
                  <c:v>2606.8097176219376</c:v>
                </c:pt>
                <c:pt idx="91">
                  <c:v>2681.4243575859273</c:v>
                </c:pt>
                <c:pt idx="92">
                  <c:v>2757.0767234937398</c:v>
                </c:pt>
                <c:pt idx="93">
                  <c:v>2833.7668153453733</c:v>
                </c:pt>
                <c:pt idx="94">
                  <c:v>2911.4946331408305</c:v>
                </c:pt>
                <c:pt idx="95">
                  <c:v>2990.2601768801101</c:v>
                </c:pt>
                <c:pt idx="96">
                  <c:v>3070.0634465632106</c:v>
                </c:pt>
                <c:pt idx="97">
                  <c:v>3150.9044421901349</c:v>
                </c:pt>
                <c:pt idx="98">
                  <c:v>3232.7831637608811</c:v>
                </c:pt>
                <c:pt idx="99">
                  <c:v>3315.6996112754491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-737.93723699379791</c:v>
                </c:pt>
                <c:pt idx="1">
                  <c:v>-712.39905326965595</c:v>
                </c:pt>
                <c:pt idx="2">
                  <c:v>-686.86086954551399</c:v>
                </c:pt>
                <c:pt idx="3">
                  <c:v>-661.32268582137192</c:v>
                </c:pt>
                <c:pt idx="4">
                  <c:v>-635.78450209722996</c:v>
                </c:pt>
                <c:pt idx="5">
                  <c:v>-610.24631837308789</c:v>
                </c:pt>
                <c:pt idx="6">
                  <c:v>-584.70813464894604</c:v>
                </c:pt>
                <c:pt idx="7">
                  <c:v>-559.16995092480397</c:v>
                </c:pt>
                <c:pt idx="8">
                  <c:v>-533.6317672006619</c:v>
                </c:pt>
                <c:pt idx="9">
                  <c:v>-508.09358347652</c:v>
                </c:pt>
                <c:pt idx="10">
                  <c:v>-482.55539975237798</c:v>
                </c:pt>
                <c:pt idx="11">
                  <c:v>-457.01721602823596</c:v>
                </c:pt>
                <c:pt idx="12">
                  <c:v>-431.47903230409401</c:v>
                </c:pt>
                <c:pt idx="13">
                  <c:v>-405.94084857995199</c:v>
                </c:pt>
                <c:pt idx="14">
                  <c:v>-380.40266485580997</c:v>
                </c:pt>
                <c:pt idx="15">
                  <c:v>-354.86448113166796</c:v>
                </c:pt>
                <c:pt idx="16">
                  <c:v>-329.326297407526</c:v>
                </c:pt>
                <c:pt idx="17">
                  <c:v>-303.78811368338404</c:v>
                </c:pt>
                <c:pt idx="18">
                  <c:v>-278.24992995924202</c:v>
                </c:pt>
                <c:pt idx="19">
                  <c:v>-252.71174623510004</c:v>
                </c:pt>
                <c:pt idx="20">
                  <c:v>-227.17356251095799</c:v>
                </c:pt>
                <c:pt idx="21">
                  <c:v>-201.63537878681603</c:v>
                </c:pt>
                <c:pt idx="22">
                  <c:v>-176.09719506267399</c:v>
                </c:pt>
                <c:pt idx="23">
                  <c:v>-150.55901133853197</c:v>
                </c:pt>
                <c:pt idx="24">
                  <c:v>-125.02082761439006</c:v>
                </c:pt>
                <c:pt idx="25">
                  <c:v>-99.482643890248028</c:v>
                </c:pt>
                <c:pt idx="26">
                  <c:v>-73.944460166105998</c:v>
                </c:pt>
                <c:pt idx="27">
                  <c:v>-48.406276441964089</c:v>
                </c:pt>
                <c:pt idx="28">
                  <c:v>-22.868092717822059</c:v>
                </c:pt>
                <c:pt idx="29">
                  <c:v>2.6700910063199701</c:v>
                </c:pt>
                <c:pt idx="30">
                  <c:v>28.208274730461998</c:v>
                </c:pt>
                <c:pt idx="31">
                  <c:v>53.746458454603911</c:v>
                </c:pt>
                <c:pt idx="32">
                  <c:v>79.284642178745941</c:v>
                </c:pt>
                <c:pt idx="33">
                  <c:v>104.82282590288797</c:v>
                </c:pt>
                <c:pt idx="34">
                  <c:v>130.36100962702989</c:v>
                </c:pt>
                <c:pt idx="35">
                  <c:v>155.8991933511719</c:v>
                </c:pt>
                <c:pt idx="36">
                  <c:v>181.43737707531395</c:v>
                </c:pt>
                <c:pt idx="37">
                  <c:v>206.97556079945596</c:v>
                </c:pt>
                <c:pt idx="38">
                  <c:v>232.51374452359789</c:v>
                </c:pt>
                <c:pt idx="39">
                  <c:v>258.05192824773991</c:v>
                </c:pt>
                <c:pt idx="40">
                  <c:v>283.59011197188192</c:v>
                </c:pt>
                <c:pt idx="41">
                  <c:v>309.12829569602383</c:v>
                </c:pt>
                <c:pt idx="42">
                  <c:v>334.6664794201659</c:v>
                </c:pt>
                <c:pt idx="43">
                  <c:v>360.2046631443078</c:v>
                </c:pt>
                <c:pt idx="44">
                  <c:v>385.74284686844993</c:v>
                </c:pt>
                <c:pt idx="45">
                  <c:v>411.28103059259183</c:v>
                </c:pt>
                <c:pt idx="46">
                  <c:v>436.81921431673402</c:v>
                </c:pt>
                <c:pt idx="47">
                  <c:v>462.35739804087592</c:v>
                </c:pt>
                <c:pt idx="48">
                  <c:v>487.89558176501782</c:v>
                </c:pt>
                <c:pt idx="49">
                  <c:v>513.43376548916001</c:v>
                </c:pt>
                <c:pt idx="50">
                  <c:v>538.97194921330185</c:v>
                </c:pt>
                <c:pt idx="51">
                  <c:v>564.51013293744381</c:v>
                </c:pt>
                <c:pt idx="52">
                  <c:v>590.04831666158589</c:v>
                </c:pt>
                <c:pt idx="53">
                  <c:v>615.58650038572785</c:v>
                </c:pt>
                <c:pt idx="54">
                  <c:v>641.1246841098698</c:v>
                </c:pt>
                <c:pt idx="55">
                  <c:v>666.66286783401188</c:v>
                </c:pt>
                <c:pt idx="56">
                  <c:v>692.20105155815384</c:v>
                </c:pt>
                <c:pt idx="57">
                  <c:v>717.73923528229568</c:v>
                </c:pt>
                <c:pt idx="58">
                  <c:v>743.27741900643787</c:v>
                </c:pt>
                <c:pt idx="59">
                  <c:v>768.81560273057983</c:v>
                </c:pt>
                <c:pt idx="60">
                  <c:v>794.3537864547219</c:v>
                </c:pt>
                <c:pt idx="61">
                  <c:v>819.89197017886386</c:v>
                </c:pt>
                <c:pt idx="62">
                  <c:v>845.43015390300582</c:v>
                </c:pt>
                <c:pt idx="63">
                  <c:v>870.96833762714789</c:v>
                </c:pt>
                <c:pt idx="64">
                  <c:v>896.50652135128985</c:v>
                </c:pt>
                <c:pt idx="65">
                  <c:v>922.04470507543169</c:v>
                </c:pt>
                <c:pt idx="66">
                  <c:v>947.58288879957388</c:v>
                </c:pt>
                <c:pt idx="67">
                  <c:v>973.12107252371584</c:v>
                </c:pt>
                <c:pt idx="68">
                  <c:v>998.65925624785768</c:v>
                </c:pt>
                <c:pt idx="69">
                  <c:v>1024.1974399719998</c:v>
                </c:pt>
                <c:pt idx="70">
                  <c:v>1049.7356236961418</c:v>
                </c:pt>
                <c:pt idx="71">
                  <c:v>1075.2738074202841</c:v>
                </c:pt>
                <c:pt idx="72">
                  <c:v>1100.8119911444257</c:v>
                </c:pt>
                <c:pt idx="73">
                  <c:v>1126.3501748685678</c:v>
                </c:pt>
                <c:pt idx="74">
                  <c:v>1151.8883585927099</c:v>
                </c:pt>
                <c:pt idx="75">
                  <c:v>1177.4265423168517</c:v>
                </c:pt>
                <c:pt idx="76">
                  <c:v>1202.9647260409938</c:v>
                </c:pt>
                <c:pt idx="77">
                  <c:v>1228.5029097651359</c:v>
                </c:pt>
                <c:pt idx="78">
                  <c:v>1254.0410934892777</c:v>
                </c:pt>
                <c:pt idx="79">
                  <c:v>1279.5792772134198</c:v>
                </c:pt>
                <c:pt idx="80">
                  <c:v>1305.1174609375619</c:v>
                </c:pt>
                <c:pt idx="81">
                  <c:v>1330.6556446617037</c:v>
                </c:pt>
                <c:pt idx="82">
                  <c:v>1356.1938283858458</c:v>
                </c:pt>
                <c:pt idx="83">
                  <c:v>1381.7320121099874</c:v>
                </c:pt>
                <c:pt idx="84">
                  <c:v>1407.2701958341295</c:v>
                </c:pt>
                <c:pt idx="85">
                  <c:v>1432.8083795582718</c:v>
                </c:pt>
                <c:pt idx="86">
                  <c:v>1458.3465632824134</c:v>
                </c:pt>
                <c:pt idx="87">
                  <c:v>1483.8847470065555</c:v>
                </c:pt>
                <c:pt idx="88">
                  <c:v>1509.4229307306978</c:v>
                </c:pt>
                <c:pt idx="89">
                  <c:v>1534.9611144548394</c:v>
                </c:pt>
                <c:pt idx="90">
                  <c:v>1560.4992981789815</c:v>
                </c:pt>
                <c:pt idx="91">
                  <c:v>1586.0374819031238</c:v>
                </c:pt>
                <c:pt idx="92">
                  <c:v>1611.5756656272658</c:v>
                </c:pt>
                <c:pt idx="93">
                  <c:v>1637.1138493514075</c:v>
                </c:pt>
                <c:pt idx="94">
                  <c:v>1662.6520330755498</c:v>
                </c:pt>
                <c:pt idx="95">
                  <c:v>1688.1902167996918</c:v>
                </c:pt>
                <c:pt idx="96">
                  <c:v>1713.7284005238334</c:v>
                </c:pt>
                <c:pt idx="97">
                  <c:v>1739.2665842479755</c:v>
                </c:pt>
                <c:pt idx="98">
                  <c:v>1764.8047679721178</c:v>
                </c:pt>
                <c:pt idx="99">
                  <c:v>1790.3429516962597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2797.3197131913444</c:v>
                </c:pt>
                <c:pt idx="1">
                  <c:v>2797.3197131913444</c:v>
                </c:pt>
                <c:pt idx="2">
                  <c:v>2797.3217401817024</c:v>
                </c:pt>
                <c:pt idx="3">
                  <c:v>2797.3334419726611</c:v>
                </c:pt>
                <c:pt idx="4">
                  <c:v>2797.355554365814</c:v>
                </c:pt>
                <c:pt idx="5">
                  <c:v>2797.3880773611613</c:v>
                </c:pt>
                <c:pt idx="6">
                  <c:v>2797.4310109587022</c:v>
                </c:pt>
                <c:pt idx="7">
                  <c:v>2797.4843551584372</c:v>
                </c:pt>
                <c:pt idx="8">
                  <c:v>2797.5481099603662</c:v>
                </c:pt>
                <c:pt idx="9">
                  <c:v>2797.6222753644888</c:v>
                </c:pt>
                <c:pt idx="10">
                  <c:v>2797.7068513708055</c:v>
                </c:pt>
                <c:pt idx="11">
                  <c:v>2797.8018379793161</c:v>
                </c:pt>
                <c:pt idx="12">
                  <c:v>2797.9072351900209</c:v>
                </c:pt>
                <c:pt idx="13">
                  <c:v>2798.0230430029192</c:v>
                </c:pt>
                <c:pt idx="14">
                  <c:v>2798.149261418012</c:v>
                </c:pt>
                <c:pt idx="15">
                  <c:v>2798.2858904352979</c:v>
                </c:pt>
                <c:pt idx="16">
                  <c:v>2798.4329300547788</c:v>
                </c:pt>
                <c:pt idx="17">
                  <c:v>2798.5903802764528</c:v>
                </c:pt>
                <c:pt idx="18">
                  <c:v>2798.7582411003209</c:v>
                </c:pt>
                <c:pt idx="19">
                  <c:v>2798.9365125263835</c:v>
                </c:pt>
                <c:pt idx="20">
                  <c:v>2799.1251945546396</c:v>
                </c:pt>
                <c:pt idx="21">
                  <c:v>2799.3242871850898</c:v>
                </c:pt>
                <c:pt idx="22">
                  <c:v>2799.5337904177336</c:v>
                </c:pt>
                <c:pt idx="23">
                  <c:v>2799.7537042525719</c:v>
                </c:pt>
                <c:pt idx="24">
                  <c:v>2799.9840286896037</c:v>
                </c:pt>
                <c:pt idx="25">
                  <c:v>2800.3360708152713</c:v>
                </c:pt>
                <c:pt idx="26">
                  <c:v>2800.9540600960077</c:v>
                </c:pt>
                <c:pt idx="27">
                  <c:v>2801.8385836296916</c:v>
                </c:pt>
                <c:pt idx="28">
                  <c:v>2802.9896414163227</c:v>
                </c:pt>
                <c:pt idx="29">
                  <c:v>2804.4072334559019</c:v>
                </c:pt>
                <c:pt idx="30">
                  <c:v>2806.0913597484287</c:v>
                </c:pt>
                <c:pt idx="31">
                  <c:v>2808.0420202939031</c:v>
                </c:pt>
                <c:pt idx="32">
                  <c:v>2810.2592150923247</c:v>
                </c:pt>
                <c:pt idx="33">
                  <c:v>2812.7429441436943</c:v>
                </c:pt>
                <c:pt idx="34">
                  <c:v>2815.4932074480112</c:v>
                </c:pt>
                <c:pt idx="35">
                  <c:v>2818.5100050052756</c:v>
                </c:pt>
                <c:pt idx="36">
                  <c:v>2821.7933368154881</c:v>
                </c:pt>
                <c:pt idx="37">
                  <c:v>2825.3432028786478</c:v>
                </c:pt>
                <c:pt idx="38">
                  <c:v>2829.1596031947556</c:v>
                </c:pt>
                <c:pt idx="39">
                  <c:v>2833.2425377638106</c:v>
                </c:pt>
                <c:pt idx="40">
                  <c:v>2837.5920065858131</c:v>
                </c:pt>
                <c:pt idx="41">
                  <c:v>2842.2080096607633</c:v>
                </c:pt>
                <c:pt idx="42">
                  <c:v>2847.0905469886611</c:v>
                </c:pt>
                <c:pt idx="43">
                  <c:v>2852.239618569507</c:v>
                </c:pt>
                <c:pt idx="44">
                  <c:v>2857.6552244032996</c:v>
                </c:pt>
                <c:pt idx="45">
                  <c:v>2863.3373644900403</c:v>
                </c:pt>
                <c:pt idx="46">
                  <c:v>2869.2860388297286</c:v>
                </c:pt>
                <c:pt idx="47">
                  <c:v>2875.501247422364</c:v>
                </c:pt>
                <c:pt idx="48">
                  <c:v>2881.9829902679476</c:v>
                </c:pt>
                <c:pt idx="49">
                  <c:v>2888.7312673664787</c:v>
                </c:pt>
                <c:pt idx="50">
                  <c:v>2895.7460787179571</c:v>
                </c:pt>
                <c:pt idx="51">
                  <c:v>2903.0274243223835</c:v>
                </c:pt>
                <c:pt idx="52">
                  <c:v>2910.5753041797575</c:v>
                </c:pt>
                <c:pt idx="53">
                  <c:v>2918.3897182900791</c:v>
                </c:pt>
                <c:pt idx="54">
                  <c:v>2926.4706666533475</c:v>
                </c:pt>
                <c:pt idx="55">
                  <c:v>2934.8181492695639</c:v>
                </c:pt>
                <c:pt idx="56">
                  <c:v>2943.4321661387285</c:v>
                </c:pt>
                <c:pt idx="57">
                  <c:v>2952.3127172608401</c:v>
                </c:pt>
                <c:pt idx="58">
                  <c:v>2961.4598026358999</c:v>
                </c:pt>
                <c:pt idx="59">
                  <c:v>2970.8734222639068</c:v>
                </c:pt>
                <c:pt idx="60">
                  <c:v>2980.5535761448609</c:v>
                </c:pt>
                <c:pt idx="61">
                  <c:v>2990.5002642787636</c:v>
                </c:pt>
                <c:pt idx="62">
                  <c:v>3000.7134866656129</c:v>
                </c:pt>
                <c:pt idx="63">
                  <c:v>3011.1932433054108</c:v>
                </c:pt>
                <c:pt idx="64">
                  <c:v>3021.9395341981558</c:v>
                </c:pt>
                <c:pt idx="65">
                  <c:v>3032.952359343848</c:v>
                </c:pt>
                <c:pt idx="66">
                  <c:v>3044.2317187424883</c:v>
                </c:pt>
                <c:pt idx="67">
                  <c:v>3055.7776123940757</c:v>
                </c:pt>
                <c:pt idx="68">
                  <c:v>3067.5900402986113</c:v>
                </c:pt>
                <c:pt idx="69">
                  <c:v>3079.6690024560944</c:v>
                </c:pt>
                <c:pt idx="70">
                  <c:v>3092.0144988665252</c:v>
                </c:pt>
                <c:pt idx="71">
                  <c:v>3104.6265295299031</c:v>
                </c:pt>
                <c:pt idx="72">
                  <c:v>3117.5050944462287</c:v>
                </c:pt>
                <c:pt idx="73">
                  <c:v>3130.6501936155023</c:v>
                </c:pt>
                <c:pt idx="74">
                  <c:v>3144.0618270377231</c:v>
                </c:pt>
                <c:pt idx="75">
                  <c:v>3157.7399947128915</c:v>
                </c:pt>
                <c:pt idx="76">
                  <c:v>3171.684696641008</c:v>
                </c:pt>
                <c:pt idx="77">
                  <c:v>3185.8959328220717</c:v>
                </c:pt>
                <c:pt idx="78">
                  <c:v>3200.3737032560825</c:v>
                </c:pt>
                <c:pt idx="79">
                  <c:v>3215.1180079430414</c:v>
                </c:pt>
                <c:pt idx="80">
                  <c:v>3230.1288468829484</c:v>
                </c:pt>
                <c:pt idx="81">
                  <c:v>3245.4062200758026</c:v>
                </c:pt>
                <c:pt idx="82">
                  <c:v>3260.9501275216044</c:v>
                </c:pt>
                <c:pt idx="83">
                  <c:v>3276.7605692203533</c:v>
                </c:pt>
                <c:pt idx="84">
                  <c:v>3292.8375451720508</c:v>
                </c:pt>
                <c:pt idx="85">
                  <c:v>3309.181055376695</c:v>
                </c:pt>
                <c:pt idx="86">
                  <c:v>3325.7910998342873</c:v>
                </c:pt>
                <c:pt idx="87">
                  <c:v>3342.6676785448267</c:v>
                </c:pt>
                <c:pt idx="88">
                  <c:v>3359.8107915083142</c:v>
                </c:pt>
                <c:pt idx="89">
                  <c:v>3377.2204387247489</c:v>
                </c:pt>
                <c:pt idx="90">
                  <c:v>3394.8966201941316</c:v>
                </c:pt>
                <c:pt idx="91">
                  <c:v>3412.8393359164616</c:v>
                </c:pt>
                <c:pt idx="92">
                  <c:v>3431.0485858917395</c:v>
                </c:pt>
                <c:pt idx="93">
                  <c:v>3449.5243701199647</c:v>
                </c:pt>
                <c:pt idx="94">
                  <c:v>3468.2666886011375</c:v>
                </c:pt>
                <c:pt idx="95">
                  <c:v>3487.2755413352584</c:v>
                </c:pt>
                <c:pt idx="96">
                  <c:v>3506.5509283223259</c:v>
                </c:pt>
                <c:pt idx="97">
                  <c:v>3526.0928495623416</c:v>
                </c:pt>
                <c:pt idx="98">
                  <c:v>3545.9013050553053</c:v>
                </c:pt>
                <c:pt idx="99">
                  <c:v>3565.9762948012162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-702.17100690874599</c:v>
                </c:pt>
                <c:pt idx="1">
                  <c:v>-677.61685733827505</c:v>
                </c:pt>
                <c:pt idx="2">
                  <c:v>-653.06270776780411</c:v>
                </c:pt>
                <c:pt idx="3">
                  <c:v>-628.50855819733329</c:v>
                </c:pt>
                <c:pt idx="4">
                  <c:v>-603.95440862686235</c:v>
                </c:pt>
                <c:pt idx="5">
                  <c:v>-579.40025905639141</c:v>
                </c:pt>
                <c:pt idx="6">
                  <c:v>-554.84610948592046</c:v>
                </c:pt>
                <c:pt idx="7">
                  <c:v>-530.29195991544964</c:v>
                </c:pt>
                <c:pt idx="8">
                  <c:v>-505.73781034497875</c:v>
                </c:pt>
                <c:pt idx="9">
                  <c:v>-481.18366077450787</c:v>
                </c:pt>
                <c:pt idx="10">
                  <c:v>-456.62951120403693</c:v>
                </c:pt>
                <c:pt idx="11">
                  <c:v>-432.07536163356605</c:v>
                </c:pt>
                <c:pt idx="12">
                  <c:v>-407.52121206309516</c:v>
                </c:pt>
                <c:pt idx="13">
                  <c:v>-382.96706249262428</c:v>
                </c:pt>
                <c:pt idx="14">
                  <c:v>-358.41291292215334</c:v>
                </c:pt>
                <c:pt idx="15">
                  <c:v>-333.85876335168246</c:v>
                </c:pt>
                <c:pt idx="16">
                  <c:v>-309.30461378121157</c:v>
                </c:pt>
                <c:pt idx="17">
                  <c:v>-284.75046421074063</c:v>
                </c:pt>
                <c:pt idx="18">
                  <c:v>-260.19631464026975</c:v>
                </c:pt>
                <c:pt idx="19">
                  <c:v>-235.64216506979884</c:v>
                </c:pt>
                <c:pt idx="20">
                  <c:v>-211.08801549932792</c:v>
                </c:pt>
                <c:pt idx="21">
                  <c:v>-186.53386592885707</c:v>
                </c:pt>
                <c:pt idx="22">
                  <c:v>-161.9797163583861</c:v>
                </c:pt>
                <c:pt idx="23">
                  <c:v>-137.42556678791519</c:v>
                </c:pt>
                <c:pt idx="24">
                  <c:v>-112.87141721744439</c:v>
                </c:pt>
                <c:pt idx="25">
                  <c:v>-88.317267646973491</c:v>
                </c:pt>
                <c:pt idx="26">
                  <c:v>-63.763118076502579</c:v>
                </c:pt>
                <c:pt idx="27">
                  <c:v>-39.208968506031667</c:v>
                </c:pt>
                <c:pt idx="28">
                  <c:v>-14.654818935560762</c:v>
                </c:pt>
                <c:pt idx="29">
                  <c:v>9.8993306349101484</c:v>
                </c:pt>
                <c:pt idx="30">
                  <c:v>34.453480205381055</c:v>
                </c:pt>
                <c:pt idx="31">
                  <c:v>59.007629775851967</c:v>
                </c:pt>
                <c:pt idx="32">
                  <c:v>83.561779346322879</c:v>
                </c:pt>
                <c:pt idx="33">
                  <c:v>108.11592891679378</c:v>
                </c:pt>
                <c:pt idx="34">
                  <c:v>132.6700784872647</c:v>
                </c:pt>
                <c:pt idx="35">
                  <c:v>157.22422805773559</c:v>
                </c:pt>
                <c:pt idx="36">
                  <c:v>181.7783776282065</c:v>
                </c:pt>
                <c:pt idx="37">
                  <c:v>206.33252719867741</c:v>
                </c:pt>
                <c:pt idx="38">
                  <c:v>230.88667676914832</c:v>
                </c:pt>
                <c:pt idx="39">
                  <c:v>255.44082633961924</c:v>
                </c:pt>
                <c:pt idx="40">
                  <c:v>279.99497591009015</c:v>
                </c:pt>
                <c:pt idx="41">
                  <c:v>304.54912548056092</c:v>
                </c:pt>
                <c:pt idx="42">
                  <c:v>329.10327505103186</c:v>
                </c:pt>
                <c:pt idx="43">
                  <c:v>353.65742462150286</c:v>
                </c:pt>
                <c:pt idx="44">
                  <c:v>378.2115741919738</c:v>
                </c:pt>
                <c:pt idx="45">
                  <c:v>402.76572376244468</c:v>
                </c:pt>
                <c:pt idx="46">
                  <c:v>427.31987333291562</c:v>
                </c:pt>
                <c:pt idx="47">
                  <c:v>451.8740229033865</c:v>
                </c:pt>
                <c:pt idx="48">
                  <c:v>476.42817247385716</c:v>
                </c:pt>
                <c:pt idx="49">
                  <c:v>500.9823220443281</c:v>
                </c:pt>
                <c:pt idx="50">
                  <c:v>525.53647161479898</c:v>
                </c:pt>
                <c:pt idx="51">
                  <c:v>550.09062118526992</c:v>
                </c:pt>
                <c:pt idx="52">
                  <c:v>574.64477075574086</c:v>
                </c:pt>
                <c:pt idx="53">
                  <c:v>599.19892032621169</c:v>
                </c:pt>
                <c:pt idx="54">
                  <c:v>623.75306989668263</c:v>
                </c:pt>
                <c:pt idx="55">
                  <c:v>648.30721946715357</c:v>
                </c:pt>
                <c:pt idx="56">
                  <c:v>672.8613690376244</c:v>
                </c:pt>
                <c:pt idx="57">
                  <c:v>697.41551860809534</c:v>
                </c:pt>
                <c:pt idx="58">
                  <c:v>721.96966817856628</c:v>
                </c:pt>
                <c:pt idx="59">
                  <c:v>746.52381774903722</c:v>
                </c:pt>
                <c:pt idx="60">
                  <c:v>771.07796731950805</c:v>
                </c:pt>
                <c:pt idx="61">
                  <c:v>795.63211688997899</c:v>
                </c:pt>
                <c:pt idx="62">
                  <c:v>820.18626646044993</c:v>
                </c:pt>
                <c:pt idx="63">
                  <c:v>844.74041603092076</c:v>
                </c:pt>
                <c:pt idx="64">
                  <c:v>869.2945656013917</c:v>
                </c:pt>
                <c:pt idx="65">
                  <c:v>893.84871517186264</c:v>
                </c:pt>
                <c:pt idx="66">
                  <c:v>918.40286474233358</c:v>
                </c:pt>
                <c:pt idx="67">
                  <c:v>942.9570143128044</c:v>
                </c:pt>
                <c:pt idx="68">
                  <c:v>967.51116388327534</c:v>
                </c:pt>
                <c:pt idx="69">
                  <c:v>992.06531345374628</c:v>
                </c:pt>
                <c:pt idx="70">
                  <c:v>1016.6194630242172</c:v>
                </c:pt>
                <c:pt idx="71">
                  <c:v>1041.1736125946882</c:v>
                </c:pt>
                <c:pt idx="72">
                  <c:v>1065.727762165159</c:v>
                </c:pt>
                <c:pt idx="73">
                  <c:v>1090.2819117356298</c:v>
                </c:pt>
                <c:pt idx="74">
                  <c:v>1114.8360613061009</c:v>
                </c:pt>
                <c:pt idx="75">
                  <c:v>1139.3902108765717</c:v>
                </c:pt>
                <c:pt idx="76">
                  <c:v>1163.9443604470425</c:v>
                </c:pt>
                <c:pt idx="77">
                  <c:v>1188.4985100175136</c:v>
                </c:pt>
                <c:pt idx="78">
                  <c:v>1213.0526595879844</c:v>
                </c:pt>
                <c:pt idx="79">
                  <c:v>1237.6068091584552</c:v>
                </c:pt>
                <c:pt idx="80">
                  <c:v>1262.1609587289263</c:v>
                </c:pt>
                <c:pt idx="81">
                  <c:v>1286.7151082993969</c:v>
                </c:pt>
                <c:pt idx="82">
                  <c:v>1311.2692578698679</c:v>
                </c:pt>
                <c:pt idx="83">
                  <c:v>1335.8234074403388</c:v>
                </c:pt>
                <c:pt idx="84">
                  <c:v>1360.3775570108096</c:v>
                </c:pt>
                <c:pt idx="85">
                  <c:v>1384.9317065812807</c:v>
                </c:pt>
                <c:pt idx="86">
                  <c:v>1409.4858561517517</c:v>
                </c:pt>
                <c:pt idx="87">
                  <c:v>1434.0400057222223</c:v>
                </c:pt>
                <c:pt idx="88">
                  <c:v>1458.5941552926936</c:v>
                </c:pt>
                <c:pt idx="89">
                  <c:v>1483.1483048631642</c:v>
                </c:pt>
                <c:pt idx="90">
                  <c:v>1507.7024544336352</c:v>
                </c:pt>
                <c:pt idx="91">
                  <c:v>1532.2566040041061</c:v>
                </c:pt>
                <c:pt idx="92">
                  <c:v>1556.8107535745771</c:v>
                </c:pt>
                <c:pt idx="93">
                  <c:v>1581.3649031450479</c:v>
                </c:pt>
                <c:pt idx="94">
                  <c:v>1605.919052715519</c:v>
                </c:pt>
                <c:pt idx="95">
                  <c:v>1630.4732022859896</c:v>
                </c:pt>
                <c:pt idx="96">
                  <c:v>1655.0273518564604</c:v>
                </c:pt>
                <c:pt idx="97">
                  <c:v>1679.5815014269315</c:v>
                </c:pt>
                <c:pt idx="98">
                  <c:v>1704.1356509974021</c:v>
                </c:pt>
                <c:pt idx="99">
                  <c:v>1728.6898005678736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-81.443766862936599</c:v>
                </c:pt>
                <c:pt idx="1">
                  <c:v>-81.443766862936599</c:v>
                </c:pt>
                <c:pt idx="2">
                  <c:v>-81.396631778774207</c:v>
                </c:pt>
                <c:pt idx="3">
                  <c:v>-81.133220515938646</c:v>
                </c:pt>
                <c:pt idx="4">
                  <c:v>-80.638390655376099</c:v>
                </c:pt>
                <c:pt idx="5">
                  <c:v>-79.912142197086524</c:v>
                </c:pt>
                <c:pt idx="6">
                  <c:v>-78.954475141070006</c:v>
                </c:pt>
                <c:pt idx="7">
                  <c:v>-77.765389487326459</c:v>
                </c:pt>
                <c:pt idx="8">
                  <c:v>-76.344885235855941</c:v>
                </c:pt>
                <c:pt idx="9">
                  <c:v>-74.692962386658422</c:v>
                </c:pt>
                <c:pt idx="10">
                  <c:v>-72.809620939733904</c:v>
                </c:pt>
                <c:pt idx="11">
                  <c:v>-70.694860895082414</c:v>
                </c:pt>
                <c:pt idx="12">
                  <c:v>-68.34868225270391</c:v>
                </c:pt>
                <c:pt idx="13">
                  <c:v>-65.771085012598419</c:v>
                </c:pt>
                <c:pt idx="14">
                  <c:v>-62.962069174765922</c:v>
                </c:pt>
                <c:pt idx="15">
                  <c:v>-59.921634739206461</c:v>
                </c:pt>
                <c:pt idx="16">
                  <c:v>-56.649781705919985</c:v>
                </c:pt>
                <c:pt idx="17">
                  <c:v>-53.146510074906516</c:v>
                </c:pt>
                <c:pt idx="18">
                  <c:v>-49.411819846166061</c:v>
                </c:pt>
                <c:pt idx="19">
                  <c:v>-45.445711019698614</c:v>
                </c:pt>
                <c:pt idx="20">
                  <c:v>-41.248183595504173</c:v>
                </c:pt>
                <c:pt idx="21">
                  <c:v>-36.819237573582747</c:v>
                </c:pt>
                <c:pt idx="22">
                  <c:v>-32.158872953934306</c:v>
                </c:pt>
                <c:pt idx="23">
                  <c:v>-27.267089736558891</c:v>
                </c:pt>
                <c:pt idx="24">
                  <c:v>-22.070962812663609</c:v>
                </c:pt>
                <c:pt idx="25">
                  <c:v>-15.967741389733726</c:v>
                </c:pt>
                <c:pt idx="26">
                  <c:v>-8.8232587206333992</c:v>
                </c:pt>
                <c:pt idx="27">
                  <c:v>-0.63751480536264005</c:v>
                </c:pt>
                <c:pt idx="28">
                  <c:v>8.5894903560785583</c:v>
                </c:pt>
                <c:pt idx="29">
                  <c:v>18.857756763690194</c:v>
                </c:pt>
                <c:pt idx="30">
                  <c:v>30.167284417472267</c:v>
                </c:pt>
                <c:pt idx="31">
                  <c:v>42.518073317424779</c:v>
                </c:pt>
                <c:pt idx="32">
                  <c:v>55.910123463547727</c:v>
                </c:pt>
                <c:pt idx="33">
                  <c:v>70.34343485584111</c:v>
                </c:pt>
                <c:pt idx="34">
                  <c:v>85.818007494304922</c:v>
                </c:pt>
                <c:pt idx="35">
                  <c:v>102.33384137893918</c:v>
                </c:pt>
                <c:pt idx="36">
                  <c:v>119.8909365097439</c:v>
                </c:pt>
                <c:pt idx="37">
                  <c:v>138.48929288671903</c:v>
                </c:pt>
                <c:pt idx="38">
                  <c:v>158.1289105098646</c:v>
                </c:pt>
                <c:pt idx="39">
                  <c:v>178.80978937918061</c:v>
                </c:pt>
                <c:pt idx="40">
                  <c:v>200.53192949466705</c:v>
                </c:pt>
                <c:pt idx="41">
                  <c:v>223.29533085632386</c:v>
                </c:pt>
                <c:pt idx="42">
                  <c:v>247.09999346415114</c:v>
                </c:pt>
                <c:pt idx="43">
                  <c:v>271.94591731814904</c:v>
                </c:pt>
                <c:pt idx="44">
                  <c:v>297.8331024183172</c:v>
                </c:pt>
                <c:pt idx="45">
                  <c:v>324.76154876465586</c:v>
                </c:pt>
                <c:pt idx="46">
                  <c:v>352.73125635716491</c:v>
                </c:pt>
                <c:pt idx="47">
                  <c:v>381.74222519584441</c:v>
                </c:pt>
                <c:pt idx="48">
                  <c:v>411.79445528069408</c:v>
                </c:pt>
                <c:pt idx="49">
                  <c:v>442.88794661171443</c:v>
                </c:pt>
                <c:pt idx="50">
                  <c:v>475.02269918890528</c:v>
                </c:pt>
                <c:pt idx="51">
                  <c:v>508.19871301226647</c:v>
                </c:pt>
                <c:pt idx="52">
                  <c:v>542.41598808179822</c:v>
                </c:pt>
                <c:pt idx="53">
                  <c:v>577.67452439750036</c:v>
                </c:pt>
                <c:pt idx="54">
                  <c:v>613.97432195937279</c:v>
                </c:pt>
                <c:pt idx="55">
                  <c:v>651.31538076741595</c:v>
                </c:pt>
                <c:pt idx="56">
                  <c:v>689.69770082162927</c:v>
                </c:pt>
                <c:pt idx="57">
                  <c:v>729.1212821220131</c:v>
                </c:pt>
                <c:pt idx="58">
                  <c:v>769.58612466856732</c:v>
                </c:pt>
                <c:pt idx="59">
                  <c:v>811.09222846129217</c:v>
                </c:pt>
                <c:pt idx="60">
                  <c:v>853.63959350018752</c:v>
                </c:pt>
                <c:pt idx="61">
                  <c:v>897.22821978525303</c:v>
                </c:pt>
                <c:pt idx="62">
                  <c:v>941.85810731648905</c:v>
                </c:pt>
                <c:pt idx="63">
                  <c:v>987.52925609389547</c:v>
                </c:pt>
                <c:pt idx="64">
                  <c:v>1034.2416661174725</c:v>
                </c:pt>
                <c:pt idx="65">
                  <c:v>1081.9953373872199</c:v>
                </c:pt>
                <c:pt idx="66">
                  <c:v>1130.7902699031376</c:v>
                </c:pt>
                <c:pt idx="67">
                  <c:v>1180.6264636652259</c:v>
                </c:pt>
                <c:pt idx="68">
                  <c:v>1231.5039186734846</c:v>
                </c:pt>
                <c:pt idx="69">
                  <c:v>1283.4226349279138</c:v>
                </c:pt>
                <c:pt idx="70">
                  <c:v>1336.3826124285133</c:v>
                </c:pt>
                <c:pt idx="71">
                  <c:v>1390.3838511752833</c:v>
                </c:pt>
                <c:pt idx="72">
                  <c:v>1445.4263511682236</c:v>
                </c:pt>
                <c:pt idx="73">
                  <c:v>1501.5101124073344</c:v>
                </c:pt>
                <c:pt idx="74">
                  <c:v>1558.6351348926157</c:v>
                </c:pt>
                <c:pt idx="75">
                  <c:v>1616.8014186240678</c:v>
                </c:pt>
                <c:pt idx="76">
                  <c:v>1676.0089636016899</c:v>
                </c:pt>
                <c:pt idx="77">
                  <c:v>1736.2577698254825</c:v>
                </c:pt>
                <c:pt idx="78">
                  <c:v>1797.5478372954453</c:v>
                </c:pt>
                <c:pt idx="79">
                  <c:v>1859.8791660115787</c:v>
                </c:pt>
                <c:pt idx="80">
                  <c:v>1923.2517559738826</c:v>
                </c:pt>
                <c:pt idx="81">
                  <c:v>1987.6656071823566</c:v>
                </c:pt>
                <c:pt idx="82">
                  <c:v>2053.120719637001</c:v>
                </c:pt>
                <c:pt idx="83">
                  <c:v>2119.6170933378166</c:v>
                </c:pt>
                <c:pt idx="84">
                  <c:v>2187.1547282848023</c:v>
                </c:pt>
                <c:pt idx="85">
                  <c:v>2255.7336244779581</c:v>
                </c:pt>
                <c:pt idx="86">
                  <c:v>2325.3537819172857</c:v>
                </c:pt>
                <c:pt idx="87">
                  <c:v>2396.0152006027815</c:v>
                </c:pt>
                <c:pt idx="88">
                  <c:v>2467.7178805344497</c:v>
                </c:pt>
                <c:pt idx="89">
                  <c:v>2540.461821712287</c:v>
                </c:pt>
                <c:pt idx="90">
                  <c:v>2614.2470241362957</c:v>
                </c:pt>
                <c:pt idx="91">
                  <c:v>2689.0734878064741</c:v>
                </c:pt>
                <c:pt idx="92">
                  <c:v>2764.9412127228238</c:v>
                </c:pt>
                <c:pt idx="93">
                  <c:v>2841.8501988853423</c:v>
                </c:pt>
                <c:pt idx="94">
                  <c:v>2919.8004462940335</c:v>
                </c:pt>
                <c:pt idx="95">
                  <c:v>2998.7919549488934</c:v>
                </c:pt>
                <c:pt idx="96">
                  <c:v>3078.8247248499238</c:v>
                </c:pt>
                <c:pt idx="97">
                  <c:v>3159.8987559971251</c:v>
                </c:pt>
                <c:pt idx="98">
                  <c:v>3242.0140483904966</c:v>
                </c:pt>
                <c:pt idx="99">
                  <c:v>3325.1706020300403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-702.17100690874599</c:v>
                </c:pt>
                <c:pt idx="1">
                  <c:v>-677.61685733827505</c:v>
                </c:pt>
                <c:pt idx="2">
                  <c:v>-653.06270776780411</c:v>
                </c:pt>
                <c:pt idx="3">
                  <c:v>-628.50855819733329</c:v>
                </c:pt>
                <c:pt idx="4">
                  <c:v>-603.95440862686235</c:v>
                </c:pt>
                <c:pt idx="5">
                  <c:v>-579.40025905639141</c:v>
                </c:pt>
                <c:pt idx="6">
                  <c:v>-554.84610948592046</c:v>
                </c:pt>
                <c:pt idx="7">
                  <c:v>-530.29195991544964</c:v>
                </c:pt>
                <c:pt idx="8">
                  <c:v>-505.73781034497875</c:v>
                </c:pt>
                <c:pt idx="9">
                  <c:v>-481.18366077450787</c:v>
                </c:pt>
                <c:pt idx="10">
                  <c:v>-456.62951120403693</c:v>
                </c:pt>
                <c:pt idx="11">
                  <c:v>-432.07536163356605</c:v>
                </c:pt>
                <c:pt idx="12">
                  <c:v>-407.52121206309516</c:v>
                </c:pt>
                <c:pt idx="13">
                  <c:v>-382.96706249262428</c:v>
                </c:pt>
                <c:pt idx="14">
                  <c:v>-358.41291292215334</c:v>
                </c:pt>
                <c:pt idx="15">
                  <c:v>-333.85876335168246</c:v>
                </c:pt>
                <c:pt idx="16">
                  <c:v>-309.30461378121157</c:v>
                </c:pt>
                <c:pt idx="17">
                  <c:v>-284.75046421074063</c:v>
                </c:pt>
                <c:pt idx="18">
                  <c:v>-260.19631464026975</c:v>
                </c:pt>
                <c:pt idx="19">
                  <c:v>-235.64216506979884</c:v>
                </c:pt>
                <c:pt idx="20">
                  <c:v>-211.08801549932792</c:v>
                </c:pt>
                <c:pt idx="21">
                  <c:v>-186.53386592885707</c:v>
                </c:pt>
                <c:pt idx="22">
                  <c:v>-161.9797163583861</c:v>
                </c:pt>
                <c:pt idx="23">
                  <c:v>-137.42556678791519</c:v>
                </c:pt>
                <c:pt idx="24">
                  <c:v>-112.87141721744439</c:v>
                </c:pt>
                <c:pt idx="25">
                  <c:v>-88.317267646973491</c:v>
                </c:pt>
                <c:pt idx="26">
                  <c:v>-63.763118076502579</c:v>
                </c:pt>
                <c:pt idx="27">
                  <c:v>-39.208968506031667</c:v>
                </c:pt>
                <c:pt idx="28">
                  <c:v>-14.654818935560762</c:v>
                </c:pt>
                <c:pt idx="29">
                  <c:v>9.8993306349101484</c:v>
                </c:pt>
                <c:pt idx="30">
                  <c:v>34.453480205381055</c:v>
                </c:pt>
                <c:pt idx="31">
                  <c:v>59.007629775851967</c:v>
                </c:pt>
                <c:pt idx="32">
                  <c:v>83.561779346322879</c:v>
                </c:pt>
                <c:pt idx="33">
                  <c:v>108.11592891679378</c:v>
                </c:pt>
                <c:pt idx="34">
                  <c:v>132.6700784872647</c:v>
                </c:pt>
                <c:pt idx="35">
                  <c:v>157.22422805773559</c:v>
                </c:pt>
                <c:pt idx="36">
                  <c:v>181.7783776282065</c:v>
                </c:pt>
                <c:pt idx="37">
                  <c:v>206.33252719867741</c:v>
                </c:pt>
                <c:pt idx="38">
                  <c:v>230.88667676914832</c:v>
                </c:pt>
                <c:pt idx="39">
                  <c:v>255.44082633961924</c:v>
                </c:pt>
                <c:pt idx="40">
                  <c:v>279.99497591009015</c:v>
                </c:pt>
                <c:pt idx="41">
                  <c:v>304.54912548056092</c:v>
                </c:pt>
                <c:pt idx="42">
                  <c:v>329.10327505103186</c:v>
                </c:pt>
                <c:pt idx="43">
                  <c:v>353.65742462150286</c:v>
                </c:pt>
                <c:pt idx="44">
                  <c:v>378.2115741919738</c:v>
                </c:pt>
                <c:pt idx="45">
                  <c:v>402.76572376244468</c:v>
                </c:pt>
                <c:pt idx="46">
                  <c:v>427.31987333291562</c:v>
                </c:pt>
                <c:pt idx="47">
                  <c:v>451.8740229033865</c:v>
                </c:pt>
                <c:pt idx="48">
                  <c:v>476.42817247385716</c:v>
                </c:pt>
                <c:pt idx="49">
                  <c:v>500.9823220443281</c:v>
                </c:pt>
                <c:pt idx="50">
                  <c:v>525.53647161479898</c:v>
                </c:pt>
                <c:pt idx="51">
                  <c:v>550.09062118526992</c:v>
                </c:pt>
                <c:pt idx="52">
                  <c:v>574.64477075574086</c:v>
                </c:pt>
                <c:pt idx="53">
                  <c:v>599.19892032621169</c:v>
                </c:pt>
                <c:pt idx="54">
                  <c:v>623.75306989668263</c:v>
                </c:pt>
                <c:pt idx="55">
                  <c:v>648.30721946715357</c:v>
                </c:pt>
                <c:pt idx="56">
                  <c:v>672.8613690376244</c:v>
                </c:pt>
                <c:pt idx="57">
                  <c:v>697.41551860809534</c:v>
                </c:pt>
                <c:pt idx="58">
                  <c:v>721.96966817856628</c:v>
                </c:pt>
                <c:pt idx="59">
                  <c:v>746.52381774903722</c:v>
                </c:pt>
                <c:pt idx="60">
                  <c:v>771.07796731950805</c:v>
                </c:pt>
                <c:pt idx="61">
                  <c:v>795.63211688997899</c:v>
                </c:pt>
                <c:pt idx="62">
                  <c:v>820.18626646044993</c:v>
                </c:pt>
                <c:pt idx="63">
                  <c:v>844.74041603092076</c:v>
                </c:pt>
                <c:pt idx="64">
                  <c:v>869.2945656013917</c:v>
                </c:pt>
                <c:pt idx="65">
                  <c:v>893.84871517186264</c:v>
                </c:pt>
                <c:pt idx="66">
                  <c:v>918.40286474233358</c:v>
                </c:pt>
                <c:pt idx="67">
                  <c:v>942.9570143128044</c:v>
                </c:pt>
                <c:pt idx="68">
                  <c:v>967.51116388327534</c:v>
                </c:pt>
                <c:pt idx="69">
                  <c:v>992.06531345374628</c:v>
                </c:pt>
                <c:pt idx="70">
                  <c:v>1016.6194630242172</c:v>
                </c:pt>
                <c:pt idx="71">
                  <c:v>1041.1736125946882</c:v>
                </c:pt>
                <c:pt idx="72">
                  <c:v>1065.727762165159</c:v>
                </c:pt>
                <c:pt idx="73">
                  <c:v>1090.2819117356298</c:v>
                </c:pt>
                <c:pt idx="74">
                  <c:v>1114.8360613061009</c:v>
                </c:pt>
                <c:pt idx="75">
                  <c:v>1139.3902108765717</c:v>
                </c:pt>
                <c:pt idx="76">
                  <c:v>1163.9443604470425</c:v>
                </c:pt>
                <c:pt idx="77">
                  <c:v>1188.4985100175136</c:v>
                </c:pt>
                <c:pt idx="78">
                  <c:v>1213.0526595879844</c:v>
                </c:pt>
                <c:pt idx="79">
                  <c:v>1237.6068091584552</c:v>
                </c:pt>
                <c:pt idx="80">
                  <c:v>1262.1609587289263</c:v>
                </c:pt>
                <c:pt idx="81">
                  <c:v>1286.7151082993969</c:v>
                </c:pt>
                <c:pt idx="82">
                  <c:v>1311.2692578698679</c:v>
                </c:pt>
                <c:pt idx="83">
                  <c:v>1335.8234074403388</c:v>
                </c:pt>
                <c:pt idx="84">
                  <c:v>1360.3775570108096</c:v>
                </c:pt>
                <c:pt idx="85">
                  <c:v>1384.9317065812807</c:v>
                </c:pt>
                <c:pt idx="86">
                  <c:v>1409.4858561517517</c:v>
                </c:pt>
                <c:pt idx="87">
                  <c:v>1434.0400057222223</c:v>
                </c:pt>
                <c:pt idx="88">
                  <c:v>1458.5941552926936</c:v>
                </c:pt>
                <c:pt idx="89">
                  <c:v>1483.1483048631642</c:v>
                </c:pt>
                <c:pt idx="90">
                  <c:v>1507.7024544336352</c:v>
                </c:pt>
                <c:pt idx="91">
                  <c:v>1532.2566040041061</c:v>
                </c:pt>
                <c:pt idx="92">
                  <c:v>1556.8107535745771</c:v>
                </c:pt>
                <c:pt idx="93">
                  <c:v>1581.3649031450479</c:v>
                </c:pt>
                <c:pt idx="94">
                  <c:v>1605.919052715519</c:v>
                </c:pt>
                <c:pt idx="95">
                  <c:v>1630.4732022859896</c:v>
                </c:pt>
                <c:pt idx="96">
                  <c:v>1655.0273518564604</c:v>
                </c:pt>
                <c:pt idx="97">
                  <c:v>1679.5815014269315</c:v>
                </c:pt>
                <c:pt idx="98">
                  <c:v>1704.1356509974021</c:v>
                </c:pt>
                <c:pt idx="99">
                  <c:v>1728.6898005678736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2799.1669689479259</c:v>
                </c:pt>
                <c:pt idx="1">
                  <c:v>2799.1669689479259</c:v>
                </c:pt>
                <c:pt idx="2">
                  <c:v>2799.167656631832</c:v>
                </c:pt>
                <c:pt idx="3">
                  <c:v>2799.1714997073086</c:v>
                </c:pt>
                <c:pt idx="4">
                  <c:v>2799.1787190967975</c:v>
                </c:pt>
                <c:pt idx="5">
                  <c:v>2799.1893148002987</c:v>
                </c:pt>
                <c:pt idx="6">
                  <c:v>2799.203286817813</c:v>
                </c:pt>
                <c:pt idx="7">
                  <c:v>2799.2206351493396</c:v>
                </c:pt>
                <c:pt idx="8">
                  <c:v>2799.2413597948785</c:v>
                </c:pt>
                <c:pt idx="9">
                  <c:v>2799.26546075443</c:v>
                </c:pt>
                <c:pt idx="10">
                  <c:v>2799.2929380279938</c:v>
                </c:pt>
                <c:pt idx="11">
                  <c:v>2799.3237916155699</c:v>
                </c:pt>
                <c:pt idx="12">
                  <c:v>2799.3580215171592</c:v>
                </c:pt>
                <c:pt idx="13">
                  <c:v>2799.3956277327602</c:v>
                </c:pt>
                <c:pt idx="14">
                  <c:v>2799.436610262374</c:v>
                </c:pt>
                <c:pt idx="15">
                  <c:v>2799.4809691060004</c:v>
                </c:pt>
                <c:pt idx="16">
                  <c:v>2799.5287042636392</c:v>
                </c:pt>
                <c:pt idx="17">
                  <c:v>2799.5798157352901</c:v>
                </c:pt>
                <c:pt idx="18">
                  <c:v>2799.6343035209538</c:v>
                </c:pt>
                <c:pt idx="19">
                  <c:v>2799.6921676206298</c:v>
                </c:pt>
                <c:pt idx="20">
                  <c:v>2799.7534080343185</c:v>
                </c:pt>
                <c:pt idx="21">
                  <c:v>2799.8180247620194</c:v>
                </c:pt>
                <c:pt idx="22">
                  <c:v>2799.886017803733</c:v>
                </c:pt>
                <c:pt idx="23">
                  <c:v>2799.9573871594594</c:v>
                </c:pt>
                <c:pt idx="24">
                  <c:v>2800.0559115707224</c:v>
                </c:pt>
                <c:pt idx="25">
                  <c:v>2800.3781304124523</c:v>
                </c:pt>
                <c:pt idx="26">
                  <c:v>2800.9677915302709</c:v>
                </c:pt>
                <c:pt idx="27">
                  <c:v>2801.8248949241774</c:v>
                </c:pt>
                <c:pt idx="28">
                  <c:v>2802.9494405941714</c:v>
                </c:pt>
                <c:pt idx="29">
                  <c:v>2804.3414285402537</c:v>
                </c:pt>
                <c:pt idx="30">
                  <c:v>2806.0008587624234</c:v>
                </c:pt>
                <c:pt idx="31">
                  <c:v>2807.9277312606814</c:v>
                </c:pt>
                <c:pt idx="32">
                  <c:v>2810.1220460350273</c:v>
                </c:pt>
                <c:pt idx="33">
                  <c:v>2812.5838030854607</c:v>
                </c:pt>
                <c:pt idx="34">
                  <c:v>2815.3130024119823</c:v>
                </c:pt>
                <c:pt idx="35">
                  <c:v>2818.3096440145923</c:v>
                </c:pt>
                <c:pt idx="36">
                  <c:v>2821.5737278932897</c:v>
                </c:pt>
                <c:pt idx="37">
                  <c:v>2825.105254048075</c:v>
                </c:pt>
                <c:pt idx="38">
                  <c:v>2828.9042224789482</c:v>
                </c:pt>
                <c:pt idx="39">
                  <c:v>2832.9706331859097</c:v>
                </c:pt>
                <c:pt idx="40">
                  <c:v>2837.3044861689586</c:v>
                </c:pt>
                <c:pt idx="41">
                  <c:v>2841.9057814280955</c:v>
                </c:pt>
                <c:pt idx="42">
                  <c:v>2846.7745189633206</c:v>
                </c:pt>
                <c:pt idx="43">
                  <c:v>2851.9106987746336</c:v>
                </c:pt>
                <c:pt idx="44">
                  <c:v>2857.3143208620345</c:v>
                </c:pt>
                <c:pt idx="45">
                  <c:v>2862.9853852255228</c:v>
                </c:pt>
                <c:pt idx="46">
                  <c:v>2868.9238918650994</c:v>
                </c:pt>
                <c:pt idx="47">
                  <c:v>2875.129840780764</c:v>
                </c:pt>
                <c:pt idx="48">
                  <c:v>2881.6032319725159</c:v>
                </c:pt>
                <c:pt idx="49">
                  <c:v>2888.3440654403566</c:v>
                </c:pt>
                <c:pt idx="50">
                  <c:v>2895.3523411842843</c:v>
                </c:pt>
                <c:pt idx="51">
                  <c:v>2902.6280592043008</c:v>
                </c:pt>
                <c:pt idx="52">
                  <c:v>2910.1712195004047</c:v>
                </c:pt>
                <c:pt idx="53">
                  <c:v>2917.981822072597</c:v>
                </c:pt>
                <c:pt idx="54">
                  <c:v>2926.0598669208766</c:v>
                </c:pt>
                <c:pt idx="55">
                  <c:v>2934.4053540452446</c:v>
                </c:pt>
                <c:pt idx="56">
                  <c:v>2943.0182834457</c:v>
                </c:pt>
                <c:pt idx="57">
                  <c:v>2951.8986551222438</c:v>
                </c:pt>
                <c:pt idx="58">
                  <c:v>2961.0464690748754</c:v>
                </c:pt>
                <c:pt idx="59">
                  <c:v>2970.4617253035949</c:v>
                </c:pt>
                <c:pt idx="60">
                  <c:v>2980.1444238084023</c:v>
                </c:pt>
                <c:pt idx="61">
                  <c:v>2990.0945645892975</c:v>
                </c:pt>
                <c:pt idx="62">
                  <c:v>3000.3121476462807</c:v>
                </c:pt>
                <c:pt idx="63">
                  <c:v>3010.7971729793517</c:v>
                </c:pt>
                <c:pt idx="64">
                  <c:v>3021.5496405885106</c:v>
                </c:pt>
                <c:pt idx="65">
                  <c:v>3032.5695504737578</c:v>
                </c:pt>
                <c:pt idx="66">
                  <c:v>3043.8569026350924</c:v>
                </c:pt>
                <c:pt idx="67">
                  <c:v>3055.4116970725154</c:v>
                </c:pt>
                <c:pt idx="68">
                  <c:v>3067.2339337860258</c:v>
                </c:pt>
                <c:pt idx="69">
                  <c:v>3079.323612775624</c:v>
                </c:pt>
                <c:pt idx="70">
                  <c:v>3091.6807340413106</c:v>
                </c:pt>
                <c:pt idx="71">
                  <c:v>3104.3052975830851</c:v>
                </c:pt>
                <c:pt idx="72">
                  <c:v>3117.1973034009479</c:v>
                </c:pt>
                <c:pt idx="73">
                  <c:v>3130.3567514948977</c:v>
                </c:pt>
                <c:pt idx="74">
                  <c:v>3143.7836418649358</c:v>
                </c:pt>
                <c:pt idx="75">
                  <c:v>3157.4779745110618</c:v>
                </c:pt>
                <c:pt idx="76">
                  <c:v>3171.4397494332757</c:v>
                </c:pt>
                <c:pt idx="77">
                  <c:v>3185.6689666315774</c:v>
                </c:pt>
                <c:pt idx="78">
                  <c:v>3200.1656261059675</c:v>
                </c:pt>
                <c:pt idx="79">
                  <c:v>3214.929727856445</c:v>
                </c:pt>
                <c:pt idx="80">
                  <c:v>3229.9612718830103</c:v>
                </c:pt>
                <c:pt idx="81">
                  <c:v>3245.2602581856636</c:v>
                </c:pt>
                <c:pt idx="82">
                  <c:v>3260.8266867644052</c:v>
                </c:pt>
                <c:pt idx="83">
                  <c:v>3276.6605576192346</c:v>
                </c:pt>
                <c:pt idx="84">
                  <c:v>3292.761870750152</c:v>
                </c:pt>
                <c:pt idx="85">
                  <c:v>3309.1306261571572</c:v>
                </c:pt>
                <c:pt idx="86">
                  <c:v>3325.7668238402503</c:v>
                </c:pt>
                <c:pt idx="87">
                  <c:v>3342.6704637994308</c:v>
                </c:pt>
                <c:pt idx="88">
                  <c:v>3359.8415460347001</c:v>
                </c:pt>
                <c:pt idx="89">
                  <c:v>3377.2800705460568</c:v>
                </c:pt>
                <c:pt idx="90">
                  <c:v>3394.9860373335014</c:v>
                </c:pt>
                <c:pt idx="91">
                  <c:v>3412.9594463970338</c:v>
                </c:pt>
                <c:pt idx="92">
                  <c:v>3431.2002977366551</c:v>
                </c:pt>
                <c:pt idx="93">
                  <c:v>3449.7085913523633</c:v>
                </c:pt>
                <c:pt idx="94">
                  <c:v>3468.4843272441599</c:v>
                </c:pt>
                <c:pt idx="95">
                  <c:v>3487.5275054120434</c:v>
                </c:pt>
                <c:pt idx="96">
                  <c:v>3506.8381258560157</c:v>
                </c:pt>
                <c:pt idx="97">
                  <c:v>3526.4161885760759</c:v>
                </c:pt>
                <c:pt idx="98">
                  <c:v>3546.2616935722235</c:v>
                </c:pt>
                <c:pt idx="99">
                  <c:v>3566.3746408444595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273:B&amp;B 235; Bolt: 120xM80 ISO; D=7500mm; a=232.5mm; b=166.4mm; s=72.3mm;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36.15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72.3</c:v>
              </c:pt>
              <c:pt idx="7">
                <c:v>72.3</c:v>
              </c:pt>
              <c:pt idx="8">
                <c:v>36.15</c:v>
              </c:pt>
            </c:numLit>
          </c:xVal>
          <c:yVal>
            <c:numLit>
              <c:formatCode>General</c:formatCode>
              <c:ptCount val="9"/>
              <c:pt idx="0">
                <c:v>266.14999999999998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2A0-4DB2-B025-54A303F12A6E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2A0-4DB2-B025-54A303F12A6E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2A0-4DB2-B025-54A303F12A6E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2A0-4DB2-B025-54A303F12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73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870257A-A6ED-43DF-A9C3-C5F7862DC4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9220" name="Spinner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5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5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97" activePane="bottomLeft" state="frozen"/>
      <selection pane="bottomLeft" activeCell="E2" sqref="E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77734375" customWidth="1"/>
    <col min="27" max="27" width="14" bestFit="1" customWidth="1"/>
  </cols>
  <sheetData>
    <row r="1" spans="1:27" ht="19.95" customHeight="1">
      <c r="E1" s="162" t="s">
        <v>399</v>
      </c>
      <c r="G1" s="162" t="s">
        <v>398</v>
      </c>
    </row>
    <row r="2" spans="1:27" ht="19.95" customHeight="1">
      <c r="A2" s="157"/>
      <c r="B2" s="156"/>
      <c r="D2" s="157"/>
      <c r="E2" s="160">
        <v>30</v>
      </c>
      <c r="F2" s="155"/>
      <c r="G2" s="163">
        <f ca="1">MAX(MAX(G5:G114),ABS(MIN(G5:G114)))</f>
        <v>3.6609822980251481E-3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1</v>
      </c>
      <c r="AA2" s="159" t="str">
        <f>"PyFlange_Gap"&amp;gap_angle&amp;"deg"</f>
        <v>PyFlange_Gap30deg</v>
      </c>
    </row>
    <row r="4" spans="1:27">
      <c r="B4" s="116" t="s">
        <v>212</v>
      </c>
      <c r="C4" s="116" t="s">
        <v>211</v>
      </c>
      <c r="D4" s="116" t="s">
        <v>210</v>
      </c>
      <c r="E4" s="116" t="s">
        <v>215</v>
      </c>
      <c r="F4" s="116" t="s">
        <v>216</v>
      </c>
      <c r="G4" s="116" t="s">
        <v>219</v>
      </c>
      <c r="H4" s="116" t="s">
        <v>209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196</v>
      </c>
      <c r="E5" s="104"/>
      <c r="F5" s="107" t="s">
        <v>85</v>
      </c>
      <c r="G5" s="104"/>
      <c r="H5" t="s">
        <v>208</v>
      </c>
    </row>
    <row r="6" spans="1:27" ht="15.6">
      <c r="B6" s="106">
        <f>B5+1</f>
        <v>2</v>
      </c>
      <c r="C6" s="105" t="s">
        <v>207</v>
      </c>
      <c r="D6" s="103" t="s">
        <v>127</v>
      </c>
      <c r="E6" s="107" cm="1">
        <f t="array" ref="E6">INDEX(SGRE!L28:O28,case_number)</f>
        <v>153.74071147146736</v>
      </c>
      <c r="F6" s="107" t="s">
        <v>85</v>
      </c>
      <c r="G6" s="107"/>
      <c r="H6" t="s">
        <v>206</v>
      </c>
    </row>
    <row r="7" spans="1:27" ht="15.6">
      <c r="B7" s="106"/>
      <c r="C7" s="105" t="s">
        <v>205</v>
      </c>
      <c r="D7" s="103" t="s">
        <v>204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203</v>
      </c>
    </row>
    <row r="8" spans="1:27" ht="15.6">
      <c r="B8" s="106"/>
      <c r="C8" s="105" t="s">
        <v>202</v>
      </c>
      <c r="D8" s="103" t="s">
        <v>142</v>
      </c>
      <c r="E8" s="107" cm="1">
        <f t="array" ref="E8">INDEX(SGRE!L30:O30,case_number)</f>
        <v>4344.0716042398344</v>
      </c>
      <c r="F8" s="107" cm="1">
        <f t="array" aca="1" ref="F8" ca="1">INDIRECT(sheet_name&amp;"!bolt.As")</f>
        <v>4344.0537979949813</v>
      </c>
      <c r="G8" s="118">
        <f ca="1">(F8-E8)/E8</f>
        <v>-4.0989759090784605E-6</v>
      </c>
    </row>
    <row r="9" spans="1:27" ht="15.6">
      <c r="B9" s="106">
        <f>B6+1</f>
        <v>3</v>
      </c>
      <c r="C9" s="103" t="s">
        <v>196</v>
      </c>
      <c r="D9" s="103" t="s">
        <v>127</v>
      </c>
      <c r="E9" s="107" cm="1">
        <f t="array" ref="E9">INDEX(SGRE!L31:O31,case_number)</f>
        <v>2800</v>
      </c>
      <c r="F9" s="107" cm="1">
        <f t="array" aca="1" ref="F9" ca="1">INDIRECT(sheet_name&amp;"!bolt.pretension")</f>
        <v>2800</v>
      </c>
      <c r="G9" s="118">
        <f ca="1">(F9-E9)/E9</f>
        <v>0</v>
      </c>
      <c r="H9" t="s">
        <v>201</v>
      </c>
    </row>
    <row r="10" spans="1:27" ht="15.6">
      <c r="B10" s="106"/>
      <c r="C10" s="103" t="s">
        <v>200</v>
      </c>
      <c r="D10" s="103" t="s">
        <v>127</v>
      </c>
      <c r="E10" s="107" cm="1">
        <f t="array" ref="E10">INDEX(SGRE!L32:O32,case_number)</f>
        <v>3144.2390271487925</v>
      </c>
      <c r="F10" s="107" t="s">
        <v>85</v>
      </c>
      <c r="G10" s="107"/>
    </row>
    <row r="11" spans="1:27" ht="15.6">
      <c r="B11" s="106"/>
      <c r="C11" s="103" t="s">
        <v>199</v>
      </c>
      <c r="D11" s="103" t="s">
        <v>122</v>
      </c>
      <c r="E11" s="107" cm="1">
        <f t="array" ref="E11">INDEX(SGRE!L33:O33,case_number)</f>
        <v>0.03</v>
      </c>
      <c r="F11" s="109" t="s">
        <v>85</v>
      </c>
      <c r="G11" s="109"/>
    </row>
    <row r="12" spans="1:27" ht="15.6">
      <c r="B12" s="106"/>
      <c r="C12" s="103" t="s">
        <v>198</v>
      </c>
      <c r="D12" s="103" t="s">
        <v>127</v>
      </c>
      <c r="E12" s="107" cm="1">
        <f t="array" ref="E12">INDEX(SGRE!L34:O34,case_number)</f>
        <v>3074.8142294293471</v>
      </c>
      <c r="F12" s="107" t="s">
        <v>85</v>
      </c>
      <c r="G12" s="107"/>
      <c r="H12" t="s">
        <v>197</v>
      </c>
    </row>
    <row r="13" spans="1:27" ht="15.6">
      <c r="B13" s="131">
        <f>B9+1</f>
        <v>4</v>
      </c>
      <c r="C13" s="130" t="s">
        <v>275</v>
      </c>
      <c r="D13" s="130" t="s">
        <v>127</v>
      </c>
      <c r="E13" s="107" cm="1">
        <f t="array" ref="E13">INDEX(SGRE!L35:O35,case_number)</f>
        <v>0</v>
      </c>
      <c r="F13" s="129" t="s">
        <v>85</v>
      </c>
      <c r="G13" s="129"/>
      <c r="H13" s="132" t="s">
        <v>195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194</v>
      </c>
      <c r="D14" s="103" t="s">
        <v>274</v>
      </c>
      <c r="E14" s="107" cm="1">
        <f t="array" ref="E14">INDEX(SGRE!L36:O36,case_number)</f>
        <v>5.8458922294713925E-10</v>
      </c>
      <c r="F14" s="114" cm="1">
        <f t="array" aca="1" ref="F14" ca="1">1/(INDIRECT(sheet_name&amp;"!bolt.axial_stiffness")*1000000)</f>
        <v>5.8461277452054354E-10</v>
      </c>
      <c r="G14" s="118">
        <f ca="1">(F14-E14)/E14</f>
        <v>4.0287388955891572E-5</v>
      </c>
    </row>
    <row r="15" spans="1:27" ht="15.6">
      <c r="B15" s="106"/>
      <c r="C15" s="105" t="s">
        <v>193</v>
      </c>
      <c r="D15" s="103" t="s">
        <v>274</v>
      </c>
      <c r="E15" s="107" cm="1">
        <f t="array" ref="E15">INDEX(SGRE!L37:O37,case_number)</f>
        <v>9.6993208304588435E-11</v>
      </c>
      <c r="F15" s="114" cm="1">
        <f t="array" aca="1" ref="F15" ca="1">1/(INDIRECT(sheet_name&amp;"!clamped_parts_stiffness")*1000000)</f>
        <v>9.6993208304588397E-11</v>
      </c>
      <c r="G15" s="118">
        <f ca="1">(F15-E15)/E15</f>
        <v>-3.9976088935691896E-16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192</v>
      </c>
      <c r="D16" s="103" t="s">
        <v>122</v>
      </c>
      <c r="E16" s="107" cm="1">
        <f t="array" ref="E16">INDEX(SGRE!L38:O38,case_number)</f>
        <v>0.1423059102718657</v>
      </c>
      <c r="F16" s="109" cm="1">
        <f t="array" aca="1" ref="F16" ca="1">INDIRECT(sheet_name&amp;"!bolt.axial_stiffness")/(INDIRECT(sheet_name&amp;"!bolt.axial_stiffness")+INDIRECT(sheet_name&amp;"!clamped_parts_stiffness"))</f>
        <v>0.1423009931670044</v>
      </c>
      <c r="G16" s="118">
        <f ca="1">(F16-E16)/E16</f>
        <v>-3.4553061442869523E-5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191</v>
      </c>
      <c r="D17" s="103" t="s">
        <v>127</v>
      </c>
      <c r="E17" s="107" cm="1">
        <f t="array" ref="E17">INDEX(SGRE!L39:O39,case_number)</f>
        <v>48.860015706266829</v>
      </c>
      <c r="F17" s="108" t="s">
        <v>85</v>
      </c>
      <c r="G17" s="108"/>
    </row>
    <row r="18" spans="2:8" ht="15.6">
      <c r="B18" s="106"/>
      <c r="C18" s="105" t="s">
        <v>190</v>
      </c>
      <c r="D18" s="103" t="s">
        <v>273</v>
      </c>
      <c r="E18" s="107" cm="1">
        <f t="array" ref="E18">INDEX(SGRE!L40:O40,case_number)</f>
        <v>500</v>
      </c>
      <c r="F18" s="107" t="s">
        <v>85</v>
      </c>
      <c r="G18" s="107"/>
    </row>
    <row r="19" spans="2:8" ht="15.6">
      <c r="B19" s="106">
        <f>B17+1</f>
        <v>6</v>
      </c>
      <c r="C19" s="103" t="s">
        <v>189</v>
      </c>
      <c r="D19" s="103" t="s">
        <v>273</v>
      </c>
      <c r="E19" s="107" cm="1">
        <f t="array" ref="E19">INDEX(SGRE!L41:O41,case_number)</f>
        <v>33.30212829607494</v>
      </c>
      <c r="F19" s="107" t="s">
        <v>85</v>
      </c>
      <c r="G19" s="107"/>
      <c r="H19" t="s">
        <v>188</v>
      </c>
    </row>
    <row r="20" spans="2:8" ht="15.6">
      <c r="B20" s="106">
        <f>B19+1</f>
        <v>7</v>
      </c>
      <c r="C20" s="103" t="s">
        <v>187</v>
      </c>
      <c r="D20" s="103" t="s">
        <v>127</v>
      </c>
      <c r="E20" s="107" cm="1">
        <f t="array" ref="E20">INDEX(SGRE!L42:O42,case_number)</f>
        <v>3323.2147772434732</v>
      </c>
      <c r="F20" s="111" t="s">
        <v>85</v>
      </c>
      <c r="G20" s="111"/>
    </row>
    <row r="21" spans="2:8" ht="15.6">
      <c r="B21" s="106">
        <f>B20+1</f>
        <v>8</v>
      </c>
      <c r="C21" s="103" t="s">
        <v>186</v>
      </c>
      <c r="D21" s="103" t="s">
        <v>182</v>
      </c>
      <c r="E21" s="107" cm="1">
        <f t="array" ref="E21">INDEX(SGRE!L43:O43,case_number)</f>
        <v>314.32350000000002</v>
      </c>
      <c r="F21" s="107" t="s">
        <v>85</v>
      </c>
      <c r="G21" s="107"/>
      <c r="H21" t="s">
        <v>185</v>
      </c>
    </row>
    <row r="22" spans="2:8" ht="15.6">
      <c r="B22" s="106">
        <f>B21+1</f>
        <v>9</v>
      </c>
      <c r="C22" s="103" t="s">
        <v>184</v>
      </c>
      <c r="D22" s="103" t="s">
        <v>182</v>
      </c>
      <c r="E22" s="107" cm="1">
        <f t="array" ref="E22">INDEX(SGRE!L44:O44,case_number)</f>
        <v>314.32350000000002</v>
      </c>
      <c r="F22" s="107" t="s">
        <v>85</v>
      </c>
      <c r="G22" s="107"/>
    </row>
    <row r="23" spans="2:8" ht="15.6">
      <c r="B23" s="106">
        <f>B22+1</f>
        <v>10</v>
      </c>
      <c r="C23" s="103" t="s">
        <v>183</v>
      </c>
      <c r="D23" s="103" t="s">
        <v>182</v>
      </c>
      <c r="E23" s="107" cm="1">
        <f t="array" ref="E23">INDEX(SGRE!L45:O45,case_number)</f>
        <v>-294.16150000000005</v>
      </c>
      <c r="F23" s="107" t="s">
        <v>85</v>
      </c>
      <c r="G23" s="107"/>
    </row>
    <row r="24" spans="2:8" ht="15.6">
      <c r="B24" s="106"/>
      <c r="C24" s="103" t="s">
        <v>181</v>
      </c>
      <c r="D24" s="103" t="s">
        <v>127</v>
      </c>
      <c r="E24" s="107" cm="1">
        <f t="array" ref="E24">INDEX(SGRE!L46:O46,case_number)</f>
        <v>1287.1661307088773</v>
      </c>
      <c r="F24" s="111" t="s">
        <v>85</v>
      </c>
      <c r="G24" s="111"/>
    </row>
    <row r="25" spans="2:8" ht="15.6">
      <c r="B25" s="106">
        <f>B23+1</f>
        <v>11</v>
      </c>
      <c r="C25" s="103" t="s">
        <v>180</v>
      </c>
      <c r="D25" s="103" t="s">
        <v>122</v>
      </c>
      <c r="E25" s="104"/>
      <c r="F25" s="110" t="s">
        <v>85</v>
      </c>
      <c r="G25" s="104"/>
      <c r="H25" t="s">
        <v>306</v>
      </c>
    </row>
    <row r="26" spans="2:8" ht="15.6">
      <c r="B26" s="106"/>
      <c r="C26" s="105" t="s">
        <v>179</v>
      </c>
      <c r="D26" s="103" t="s">
        <v>178</v>
      </c>
      <c r="E26" s="107" cm="1">
        <f t="array" ref="E26">INDEX(SGRE!L48:O48,case_number)</f>
        <v>30</v>
      </c>
      <c r="F26" s="110" cm="1">
        <f t="array" aca="1" ref="F26" ca="1">INDIRECT(sheet_name&amp;"!gap.angle")</f>
        <v>29.999999999999996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177</v>
      </c>
      <c r="D27" s="103" t="s">
        <v>171</v>
      </c>
      <c r="E27" s="107" cm="1">
        <f t="array" ref="E27">INDEX(SGRE!L49:O49,case_number)</f>
        <v>1.9634954084936207</v>
      </c>
      <c r="F27" s="109" cm="1">
        <f t="array" aca="1" ref="F27" ca="1">INDIRECT(sheet_name&amp;"!gap.L")/1000</f>
        <v>1.9634954084936205</v>
      </c>
      <c r="G27" s="118">
        <f t="shared" ca="1" si="0"/>
        <v>-1.1308638867425837E-16</v>
      </c>
      <c r="H27" t="s">
        <v>319</v>
      </c>
    </row>
    <row r="28" spans="2:8">
      <c r="B28" s="106"/>
      <c r="C28" s="103" t="s">
        <v>92</v>
      </c>
      <c r="D28" s="103" t="s">
        <v>171</v>
      </c>
      <c r="E28" s="107" cm="1">
        <f t="array" ref="E28">INDEX(SGRE!L50:O50,case_number)</f>
        <v>7.5</v>
      </c>
      <c r="F28" s="109" cm="1">
        <f t="array" aca="1" ref="F28" ca="1">2*INDIRECT(sheet_name&amp;"!Radius")/1000</f>
        <v>7.5</v>
      </c>
      <c r="G28" s="118">
        <f t="shared" ca="1" si="0"/>
        <v>0</v>
      </c>
    </row>
    <row r="29" spans="2:8" ht="15.6">
      <c r="B29" s="106"/>
      <c r="C29" s="103" t="s">
        <v>176</v>
      </c>
      <c r="D29" s="103" t="s">
        <v>175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174</v>
      </c>
      <c r="D30" s="103" t="s">
        <v>125</v>
      </c>
      <c r="E30" s="107" cm="1">
        <f t="array" ref="E30">INDEX(SGRE!L52:O52,case_number)</f>
        <v>0.28773533056547307</v>
      </c>
      <c r="F30" s="109" cm="1">
        <f t="array" aca="1" ref="F30" ca="1">INDIRECT(sheet_name&amp;"!gap.k_mean")</f>
        <v>0.28773533056547312</v>
      </c>
      <c r="G30" s="118">
        <f t="shared" ca="1" si="0"/>
        <v>1.9292434864416651E-16</v>
      </c>
    </row>
    <row r="31" spans="2:8" ht="15.6">
      <c r="B31" s="106">
        <f>B30+1</f>
        <v>13</v>
      </c>
      <c r="C31" s="103" t="s">
        <v>173</v>
      </c>
      <c r="D31" s="103" t="s">
        <v>122</v>
      </c>
      <c r="E31" s="107" cm="1">
        <f t="array" ref="E31">INDEX(SGRE!L53:O53,case_number)</f>
        <v>1.2162355202035975</v>
      </c>
      <c r="F31" s="109" cm="1">
        <f t="array" aca="1" ref="F31" ca="1">INDIRECT(sheet_name&amp;"!gap.COV")</f>
        <v>1.2162355202035973</v>
      </c>
      <c r="G31" s="118">
        <f t="shared" ca="1" si="0"/>
        <v>-1.825671107581705E-16</v>
      </c>
    </row>
    <row r="32" spans="2:8" ht="15.6">
      <c r="B32" s="106"/>
      <c r="C32" s="103" t="s">
        <v>172</v>
      </c>
      <c r="D32" s="103" t="s">
        <v>171</v>
      </c>
      <c r="E32" s="107" cm="1">
        <f t="array" ref="E32">INDEX(SGRE!L54:O54,case_number)</f>
        <v>1.9634954084936205</v>
      </c>
      <c r="F32" s="109" t="s">
        <v>85</v>
      </c>
      <c r="G32" s="109"/>
    </row>
    <row r="33" spans="2:8" ht="15.6">
      <c r="B33" s="106">
        <f>B31+1</f>
        <v>14</v>
      </c>
      <c r="C33" s="103" t="s">
        <v>170</v>
      </c>
      <c r="D33" s="103" t="s">
        <v>125</v>
      </c>
      <c r="E33" s="107" cm="1">
        <f t="array" ref="E33">INDEX(SGRE!L55:O55,case_number)</f>
        <v>1.9617469257392748</v>
      </c>
      <c r="F33" s="109" t="s">
        <v>85</v>
      </c>
      <c r="G33" s="109"/>
    </row>
    <row r="34" spans="2:8" ht="15.6">
      <c r="B34" s="106">
        <f>B33+1</f>
        <v>15</v>
      </c>
      <c r="C34" s="103" t="s">
        <v>169</v>
      </c>
      <c r="D34" s="103" t="s">
        <v>125</v>
      </c>
      <c r="E34" s="107" cm="1">
        <f t="array" ref="E34">INDEX(SGRE!L56:O56,case_number)</f>
        <v>2.942620388608912</v>
      </c>
      <c r="F34" s="109" t="s">
        <v>85</v>
      </c>
      <c r="G34" s="109"/>
    </row>
    <row r="35" spans="2:8" ht="15.6">
      <c r="B35" s="106">
        <f>B34+1</f>
        <v>16</v>
      </c>
      <c r="C35" s="105" t="s">
        <v>168</v>
      </c>
      <c r="D35" s="103"/>
      <c r="E35" s="107" cm="1">
        <f t="array" ref="E35">INDEX(SGRE!L57:O57,case_number)</f>
        <v>0.95286282352314688</v>
      </c>
      <c r="F35" s="109" t="s">
        <v>85</v>
      </c>
      <c r="G35" s="109"/>
    </row>
    <row r="36" spans="2:8" ht="15.6">
      <c r="B36" s="106">
        <f>B35+1</f>
        <v>17</v>
      </c>
      <c r="C36" s="105" t="s">
        <v>167</v>
      </c>
      <c r="D36" s="103"/>
      <c r="E36" s="107" cm="1">
        <f t="array" ref="E36">INDEX(SGRE!L58:O58,case_number)</f>
        <v>-1.6996879926957522</v>
      </c>
      <c r="F36" s="109" t="s">
        <v>85</v>
      </c>
      <c r="G36" s="109"/>
    </row>
    <row r="37" spans="2:8" ht="15.6">
      <c r="B37" s="106">
        <f>B36+1</f>
        <v>18</v>
      </c>
      <c r="C37" s="103" t="s">
        <v>166</v>
      </c>
      <c r="D37" s="103"/>
      <c r="E37" s="107" cm="1">
        <f t="array" ref="E37">INDEX(SGRE!L59:O59,case_number)</f>
        <v>-0.13232393428252798</v>
      </c>
      <c r="F37" s="113" t="s">
        <v>85</v>
      </c>
      <c r="G37" s="109"/>
    </row>
    <row r="38" spans="2:8" ht="15.6">
      <c r="B38" s="106">
        <f>B37+1</f>
        <v>19</v>
      </c>
      <c r="C38" s="103" t="s">
        <v>165</v>
      </c>
      <c r="D38" s="103" t="s">
        <v>125</v>
      </c>
      <c r="E38" s="107" cm="1">
        <f t="array" ref="E38">INDEX(SGRE!L60:O60,case_number)</f>
        <v>0.87601845454409977</v>
      </c>
      <c r="F38" s="109" cm="1">
        <f t="array" aca="1" ref="F38" ca="1">INDIRECT(sheet_name&amp;"!gap.h")</f>
        <v>0.87601845454410032</v>
      </c>
      <c r="G38" s="118">
        <f t="shared" ref="G38:G39" ca="1" si="1">(F38-E38)/E38</f>
        <v>6.3367559145939581E-16</v>
      </c>
    </row>
    <row r="39" spans="2:8" ht="15.6">
      <c r="B39" s="106"/>
      <c r="C39" s="103" t="s">
        <v>164</v>
      </c>
      <c r="D39" s="103" t="s">
        <v>125</v>
      </c>
      <c r="E39" s="107" cm="1">
        <f t="array" ref="E39">INDEX(SGRE!L61:O61,case_number)</f>
        <v>0.87601845454409977</v>
      </c>
      <c r="F39" s="109" cm="1">
        <f t="array" aca="1" ref="F39" ca="1">INDIRECT(sheet_name&amp;"!gap.h")</f>
        <v>0.87601845454410032</v>
      </c>
      <c r="G39" s="118">
        <f t="shared" ca="1" si="1"/>
        <v>6.3367559145939581E-16</v>
      </c>
      <c r="H39" t="s">
        <v>163</v>
      </c>
    </row>
    <row r="40" spans="2:8">
      <c r="B40" s="106">
        <f>B38+1</f>
        <v>20</v>
      </c>
      <c r="C40" s="103" t="s">
        <v>162</v>
      </c>
      <c r="D40" s="103"/>
      <c r="E40" s="128"/>
      <c r="F40" s="128"/>
      <c r="G40" s="128"/>
      <c r="H40" t="s">
        <v>161</v>
      </c>
    </row>
    <row r="41" spans="2:8">
      <c r="B41" s="106">
        <f>B40+1</f>
        <v>21</v>
      </c>
      <c r="C41" s="112" t="s">
        <v>160</v>
      </c>
      <c r="D41" s="103"/>
      <c r="E41" s="128"/>
      <c r="F41" s="128"/>
      <c r="G41" s="128"/>
      <c r="H41" t="s">
        <v>159</v>
      </c>
    </row>
    <row r="42" spans="2:8" ht="15.6">
      <c r="B42" s="106">
        <f>B41+1</f>
        <v>22</v>
      </c>
      <c r="C42" s="103" t="s">
        <v>158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157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156</v>
      </c>
      <c r="D44" s="103"/>
      <c r="E44" s="128"/>
      <c r="F44" s="128"/>
      <c r="G44" s="128"/>
      <c r="H44" t="s">
        <v>155</v>
      </c>
    </row>
    <row r="45" spans="2:8" ht="15.6">
      <c r="B45" s="106"/>
      <c r="C45" s="103" t="s">
        <v>318</v>
      </c>
      <c r="D45" s="103" t="s">
        <v>127</v>
      </c>
      <c r="E45" s="107" cm="1">
        <f t="array" ref="E45">INDEX(SGRE!L67:O67,case_number)</f>
        <v>-123.29166666666667</v>
      </c>
      <c r="F45" s="109" cm="1">
        <f t="array" aca="1" ref="F45" ca="1">INDIRECT(sheet_name&amp;"!Point1.Z")</f>
        <v>-123.29166666666667</v>
      </c>
      <c r="G45" s="118">
        <f t="shared" ref="G45" ca="1" si="2">(F45-E45)/E45</f>
        <v>0</v>
      </c>
    </row>
    <row r="46" spans="2:8" ht="15.6">
      <c r="B46" s="106"/>
      <c r="C46" s="103" t="s">
        <v>317</v>
      </c>
      <c r="D46" s="103" t="s">
        <v>127</v>
      </c>
      <c r="E46" s="107" cm="1">
        <f t="array" ref="E46">INDEX(SGRE!L68:O68,case_number)</f>
        <v>2800</v>
      </c>
      <c r="F46" s="107" cm="1">
        <f t="array" aca="1" ref="F46" ca="1">INDIRECT(sheet_name&amp;"!Point1.Fs")</f>
        <v>2800</v>
      </c>
      <c r="G46" s="118">
        <f t="shared" ref="G46:G50" ca="1" si="3">(F46-E46)/E46</f>
        <v>0</v>
      </c>
    </row>
    <row r="47" spans="2:8" ht="15.6">
      <c r="B47" s="106"/>
      <c r="C47" s="103" t="s">
        <v>316</v>
      </c>
      <c r="D47" s="103" t="s">
        <v>127</v>
      </c>
      <c r="E47" s="107" cm="1">
        <f t="array" ref="E47">INDEX(SGRE!L69:O69,case_number)</f>
        <v>2014.2804877190592</v>
      </c>
      <c r="F47" s="108" cm="1">
        <f t="array" aca="1" ref="F47" ca="1">INDIRECT(sheet_name&amp;"!Point2.Z")</f>
        <v>2013.5972413350078</v>
      </c>
      <c r="G47" s="118">
        <f t="shared" ca="1" si="3"/>
        <v>-3.3920121264996705E-4</v>
      </c>
    </row>
    <row r="48" spans="2:8" ht="15.6">
      <c r="B48" s="106"/>
      <c r="C48" s="103" t="s">
        <v>315</v>
      </c>
      <c r="D48" s="103" t="s">
        <v>127</v>
      </c>
      <c r="E48" s="107" cm="1">
        <f t="array" ref="E48">INDEX(SGRE!L70:O70,case_number)</f>
        <v>3500</v>
      </c>
      <c r="F48" s="107" cm="1">
        <f t="array" aca="1" ref="F48" ca="1">INDIRECT(sheet_name&amp;"!Point2.Fs")</f>
        <v>3500</v>
      </c>
      <c r="G48" s="118">
        <f t="shared" ca="1" si="3"/>
        <v>0</v>
      </c>
    </row>
    <row r="49" spans="2:8" ht="15.6">
      <c r="B49" s="106"/>
      <c r="C49" s="103" t="s">
        <v>314</v>
      </c>
      <c r="D49" s="103" t="s">
        <v>127</v>
      </c>
      <c r="E49" s="107" cm="1">
        <f t="array" ref="E49">INDEX(SGRE!L71:O71,case_number)</f>
        <v>160.06150488736645</v>
      </c>
      <c r="F49" s="107" cm="1">
        <f t="array" aca="1" ref="F49" ca="1">INDIRECT(sheet_name&amp;"!Point3.Z")</f>
        <v>160.00854642505922</v>
      </c>
      <c r="G49" s="118">
        <f t="shared" ca="1" si="3"/>
        <v>-3.3086320376968405E-4</v>
      </c>
    </row>
    <row r="50" spans="2:8" ht="15.6">
      <c r="B50" s="106"/>
      <c r="C50" s="103" t="s">
        <v>313</v>
      </c>
      <c r="D50" s="103" t="s">
        <v>127</v>
      </c>
      <c r="E50" s="107" cm="1">
        <f t="array" ref="E50">INDEX(SGRE!L72:O72,case_number)</f>
        <v>2817.3950678099318</v>
      </c>
      <c r="F50" s="107" cm="1">
        <f t="array" aca="1" ref="F50" ca="1">INDIRECT(sheet_name&amp;"!Point3.Fs")</f>
        <v>2817.3832165699514</v>
      </c>
      <c r="G50" s="118">
        <f t="shared" ca="1" si="3"/>
        <v>-4.2064530160479185E-6</v>
      </c>
    </row>
    <row r="51" spans="2:8" ht="15.6">
      <c r="B51" s="106"/>
      <c r="C51" s="103" t="s">
        <v>312</v>
      </c>
      <c r="D51" s="103"/>
      <c r="E51" s="107" cm="1">
        <f t="array" ref="E51">INDEX(SGRE!L73:O73,case_number)</f>
        <v>1123077907.9738083</v>
      </c>
      <c r="F51" s="110" t="s">
        <v>85</v>
      </c>
      <c r="G51" s="110"/>
    </row>
    <row r="52" spans="2:8" ht="15.6">
      <c r="B52" s="106"/>
      <c r="C52" s="103" t="s">
        <v>311</v>
      </c>
      <c r="D52" s="103"/>
      <c r="E52" s="107" cm="1">
        <f t="array" ref="E52">INDEX(SGRE!L74:O74,case_number)</f>
        <v>161164.00751366149</v>
      </c>
      <c r="F52" s="111" t="s">
        <v>85</v>
      </c>
      <c r="G52" s="111"/>
    </row>
    <row r="53" spans="2:8" ht="15.6">
      <c r="B53" s="106"/>
      <c r="C53" s="103" t="s">
        <v>310</v>
      </c>
      <c r="D53" s="103"/>
      <c r="E53" s="107" cm="1">
        <f t="array" ref="E53">INDEX(SGRE!L75:O75,case_number)</f>
        <v>63019844.114399709</v>
      </c>
      <c r="F53" s="111" t="s">
        <v>85</v>
      </c>
      <c r="G53" s="111"/>
    </row>
    <row r="54" spans="2:8" ht="15.6">
      <c r="B54" s="106"/>
      <c r="C54" s="105" t="s">
        <v>309</v>
      </c>
      <c r="D54" s="103"/>
      <c r="E54" s="137" cm="1">
        <f t="array" ref="E54">INDEX(SGRE!L76:O76,case_number)</f>
        <v>1.4350207262506321E-4</v>
      </c>
      <c r="F54" s="137" cm="1">
        <f t="array" aca="1" ref="F54" ca="1">INDIRECT(sheet_name&amp;"!Fs_coeff.tens.2")*1000</f>
        <v>1.4362373434405955E-4</v>
      </c>
      <c r="G54" s="118">
        <f t="shared" ref="G54:G56" ca="1" si="4">(F54-E54)/E54</f>
        <v>8.4780461195295995E-4</v>
      </c>
    </row>
    <row r="55" spans="2:8" ht="15.6">
      <c r="B55" s="106"/>
      <c r="C55" s="105" t="s">
        <v>308</v>
      </c>
      <c r="D55" s="103"/>
      <c r="E55" s="137" cm="1">
        <f t="array" ref="E55">INDEX(SGRE!L77:O77,case_number)</f>
        <v>5.6113510618418662E-2</v>
      </c>
      <c r="F55" s="137" cm="1">
        <f t="array" aca="1" ref="F55" ca="1">INDIRECT(sheet_name&amp;"!Fs_coeff.tens.1")</f>
        <v>5.608628632656832E-2</v>
      </c>
      <c r="G55" s="118">
        <f t="shared" ca="1" si="4"/>
        <v>-4.8516465197609156E-4</v>
      </c>
    </row>
    <row r="56" spans="2:8" ht="14.4">
      <c r="B56" s="106"/>
      <c r="C56" s="112" t="s">
        <v>307</v>
      </c>
      <c r="D56" s="103"/>
      <c r="E56" s="107" cm="1">
        <f t="array" ref="E56">INDEX(SGRE!L78:O78,case_number)</f>
        <v>2804.7369769085653</v>
      </c>
      <c r="F56" s="107" cm="1">
        <f t="array" aca="1" ref="F56" ca="1">INDIRECT(sheet_name&amp;"!Fs_coeff.tens.0")/1000</f>
        <v>2804.7317710205248</v>
      </c>
      <c r="G56" s="118">
        <f t="shared" ca="1" si="4"/>
        <v>-1.8561056111229035E-6</v>
      </c>
    </row>
    <row r="57" spans="2:8" ht="15.6">
      <c r="B57" s="106">
        <f>B44+1</f>
        <v>25</v>
      </c>
      <c r="C57" s="105" t="s">
        <v>154</v>
      </c>
      <c r="D57" s="103" t="s">
        <v>127</v>
      </c>
      <c r="E57" s="107" cm="1">
        <f t="array" ref="E57">INDEX(SGRE!L79:O79,case_number)</f>
        <v>833.86655765976786</v>
      </c>
      <c r="F57" s="107" cm="1">
        <f t="array" aca="1" ref="F57" ca="1">-INDIRECT(sheet_name&amp;"!DZ_gap")</f>
        <v>832.74705701669859</v>
      </c>
      <c r="G57" s="118">
        <f ca="1">(F57-E57)/E57</f>
        <v>-1.3425417205975164E-3</v>
      </c>
    </row>
    <row r="58" spans="2:8" ht="15.6" hidden="1">
      <c r="B58" s="106"/>
      <c r="C58" s="103" t="s">
        <v>143</v>
      </c>
      <c r="D58" s="103" t="s">
        <v>142</v>
      </c>
      <c r="E58" s="107" cm="1">
        <f t="array" ref="E58">INDEX(SGRE!L80:O80,case_number)</f>
        <v>38818.827824694483</v>
      </c>
      <c r="F58" s="111" t="s">
        <v>85</v>
      </c>
      <c r="G58" s="111"/>
    </row>
    <row r="59" spans="2:8" ht="16.8" hidden="1">
      <c r="B59" s="106"/>
      <c r="C59" s="103" t="s">
        <v>141</v>
      </c>
      <c r="D59" s="103" t="s">
        <v>272</v>
      </c>
      <c r="E59" s="107" cm="1">
        <f t="array" ref="E59">INDEX(SGRE!L81:O81,case_number)</f>
        <v>129396092.74898161</v>
      </c>
      <c r="F59" s="114" cm="1">
        <f t="array" aca="1" ref="F59" ca="1">INDIRECT(sheet_name&amp;"!I_tg")</f>
        <v>129398710.74285959</v>
      </c>
      <c r="G59" s="118">
        <f t="shared" ref="G59:G61" ca="1" si="5">(F59-E59)/E59</f>
        <v>2.023240286749491E-5</v>
      </c>
    </row>
    <row r="60" spans="2:8" ht="15.6" hidden="1">
      <c r="B60" s="106"/>
      <c r="C60" s="103" t="s">
        <v>147</v>
      </c>
      <c r="D60" s="103" t="s">
        <v>142</v>
      </c>
      <c r="E60" s="107" cm="1">
        <f t="array" ref="E60">INDEX(SGRE!L82:O82,case_number)</f>
        <v>86999.999999999971</v>
      </c>
      <c r="F60" s="111" cm="1">
        <f t="array" aca="1" ref="F60" ca="1">INDIRECT(sheet_name&amp;"!flange.A_cf")</f>
        <v>87000.000000000029</v>
      </c>
      <c r="G60" s="118">
        <f t="shared" ca="1" si="5"/>
        <v>6.6905357371801637E-16</v>
      </c>
    </row>
    <row r="61" spans="2:8" ht="16.8" hidden="1">
      <c r="B61" s="106"/>
      <c r="C61" s="103" t="s">
        <v>146</v>
      </c>
      <c r="D61" s="103" t="s">
        <v>272</v>
      </c>
      <c r="E61" s="107" cm="1">
        <f t="array" ref="E61">INDEX(SGRE!L83:O83,case_number)</f>
        <v>289999999.99999994</v>
      </c>
      <c r="F61" s="114" cm="1">
        <f t="array" aca="1" ref="F61" ca="1">INDIRECT(sheet_name&amp;"!flange.I_cf")</f>
        <v>290000000.00000006</v>
      </c>
      <c r="G61" s="118">
        <f t="shared" ca="1" si="5"/>
        <v>4.1106651569234922E-16</v>
      </c>
    </row>
    <row r="62" spans="2:8" ht="15.6">
      <c r="B62" s="106">
        <f>B57+1</f>
        <v>26</v>
      </c>
      <c r="C62" s="103" t="s">
        <v>153</v>
      </c>
      <c r="D62" s="103" t="s">
        <v>133</v>
      </c>
      <c r="E62" s="107" cm="1">
        <f t="array" ref="E62">INDEX(SGRE!L84:O84,case_number)</f>
        <v>9808.4611337014285</v>
      </c>
      <c r="F62" s="111" cm="1">
        <f t="array" aca="1" ref="F62" ca="1">INDIRECT(sheet_name&amp;"!gap.stiffness")</f>
        <v>9795.0946871127362</v>
      </c>
      <c r="G62" s="118">
        <f ca="1">(F62-E62)/E62</f>
        <v>-1.3627465518281725E-3</v>
      </c>
    </row>
    <row r="63" spans="2:8" ht="15.6">
      <c r="B63" s="106"/>
      <c r="C63" s="103" t="s">
        <v>354</v>
      </c>
      <c r="D63" s="103" t="s">
        <v>122</v>
      </c>
      <c r="E63" s="109" cm="1">
        <f t="array" ref="E63">INDEX(SGRE!L85:O85,case_number)</f>
        <v>1.5</v>
      </c>
      <c r="F63" s="109" cm="1">
        <f t="array" aca="1" ref="F63" ca="1">INDIRECT(sheet_name&amp;"!gap.stiffness_correction_factor")</f>
        <v>1.5</v>
      </c>
      <c r="G63" s="118"/>
    </row>
    <row r="64" spans="2:8" ht="15.6">
      <c r="B64" s="106">
        <f>B62+1</f>
        <v>27</v>
      </c>
      <c r="C64" s="103" t="s">
        <v>150</v>
      </c>
      <c r="D64" s="103" t="s">
        <v>133</v>
      </c>
      <c r="E64" s="107" cm="1">
        <f t="array" ref="E64">INDEX(SGRE!L86:O86,case_number)</f>
        <v>4755.8743101826412</v>
      </c>
      <c r="F64" s="111" t="s">
        <v>85</v>
      </c>
      <c r="G64" s="111" t="s">
        <v>85</v>
      </c>
      <c r="H64" t="s">
        <v>152</v>
      </c>
    </row>
    <row r="65" spans="2:8" ht="15.6">
      <c r="B65" s="106"/>
      <c r="C65" s="103" t="s">
        <v>150</v>
      </c>
      <c r="D65" s="103" t="s">
        <v>133</v>
      </c>
      <c r="E65" s="107" cm="1">
        <f t="array" ref="E65">INDEX(SGRE!L87:O87,case_number)</f>
        <v>5118.8473830169332</v>
      </c>
      <c r="F65" s="111" t="s">
        <v>85</v>
      </c>
      <c r="G65" s="118" t="s">
        <v>85</v>
      </c>
      <c r="H65" t="s">
        <v>151</v>
      </c>
    </row>
    <row r="66" spans="2:8" ht="15.6">
      <c r="B66" s="106"/>
      <c r="C66" s="103" t="s">
        <v>150</v>
      </c>
      <c r="D66" s="103" t="s">
        <v>133</v>
      </c>
      <c r="E66" s="107" cm="1">
        <f t="array" ref="E66">INDEX(SGRE!L88:O88,case_number)</f>
        <v>5118.8473830169332</v>
      </c>
      <c r="F66" s="111" cm="1">
        <f t="array" aca="1" ref="F66" ca="1">INDIRECT(sheet_name&amp;"!gap.k_shell")</f>
        <v>5109.9347062037868</v>
      </c>
      <c r="G66" s="118">
        <f ca="1">(F66-E66)/E66</f>
        <v>-1.7411491584446222E-3</v>
      </c>
      <c r="H66" t="s">
        <v>149</v>
      </c>
    </row>
    <row r="67" spans="2:8" ht="15.6">
      <c r="B67" s="106">
        <f>B64+1</f>
        <v>28</v>
      </c>
      <c r="C67" s="103" t="s">
        <v>148</v>
      </c>
      <c r="D67" s="103" t="s">
        <v>122</v>
      </c>
      <c r="E67" s="109" cm="1">
        <f t="array" ref="E67">INDEX(SGRE!L89:O89,case_number)</f>
        <v>1.8</v>
      </c>
      <c r="F67" s="109" cm="1">
        <f t="array" aca="1" ref="F67" ca="1">INDIRECT(sheet_name&amp;"!gap.k_fac")</f>
        <v>1.8</v>
      </c>
      <c r="G67" s="118">
        <f ca="1">(F67-E67)/E67</f>
        <v>0</v>
      </c>
    </row>
    <row r="68" spans="2:8" ht="15.6">
      <c r="B68" s="106">
        <f>B67+1</f>
        <v>29</v>
      </c>
      <c r="C68" s="103" t="s">
        <v>145</v>
      </c>
      <c r="D68" s="103" t="s">
        <v>133</v>
      </c>
      <c r="E68" s="107" cm="1">
        <f t="array" ref="E68">INDEX(SGRE!L90:O90,case_number)</f>
        <v>1420.1267061173535</v>
      </c>
      <c r="F68" s="107" cm="1">
        <f t="array" aca="1" ref="F68" ca="1">INDIRECT(sheet_name&amp;"!gap.k_fl")</f>
        <v>1420.1284185380368</v>
      </c>
      <c r="G68" s="118">
        <f ca="1">(F68-E68)/E68</f>
        <v>1.2058224635766465E-6</v>
      </c>
    </row>
    <row r="69" spans="2:8" ht="15.6">
      <c r="B69" s="106">
        <f>B68+1</f>
        <v>30</v>
      </c>
      <c r="C69" s="105" t="s">
        <v>144</v>
      </c>
      <c r="D69" s="103" t="s">
        <v>127</v>
      </c>
      <c r="E69" s="107" cm="1">
        <f t="array" ref="E69">INDEX(SGRE!L91:O91,case_number)</f>
        <v>533.15766751275896</v>
      </c>
      <c r="F69" s="110" t="s">
        <v>85</v>
      </c>
      <c r="G69" s="104"/>
      <c r="H69" t="s">
        <v>305</v>
      </c>
    </row>
    <row r="70" spans="2:8" ht="15.6">
      <c r="B70" s="106">
        <f>B69+1</f>
        <v>31</v>
      </c>
      <c r="C70" s="103" t="s">
        <v>140</v>
      </c>
      <c r="D70" s="103" t="s">
        <v>127</v>
      </c>
      <c r="E70" s="107" cm="1">
        <f t="array" ref="E70">INDEX(SGRE!L92:O92,case_number)</f>
        <v>426.72924180380602</v>
      </c>
      <c r="F70" s="110" t="s">
        <v>85</v>
      </c>
      <c r="G70" s="104"/>
      <c r="H70" t="s">
        <v>305</v>
      </c>
    </row>
    <row r="71" spans="2:8" ht="15.6">
      <c r="B71" s="106"/>
      <c r="C71" s="105" t="s">
        <v>139</v>
      </c>
      <c r="D71" s="103" t="s">
        <v>127</v>
      </c>
      <c r="E71" s="107" cm="1">
        <f t="array" ref="E71">INDEX(SGRE!L93:O93,case_number)</f>
        <v>-229.91355321845737</v>
      </c>
      <c r="F71" s="110" cm="1">
        <f t="array" aca="1" ref="F71" ca="1">INDIRECT(sheet_name&amp;"!DZ_gap_inclination")</f>
        <v>-229.07184377004853</v>
      </c>
      <c r="G71" s="118">
        <f ca="1">IF(AND(E71=0,F71=0), 0, (F71-E71)/E71)</f>
        <v>-3.6609822980251481E-3</v>
      </c>
      <c r="H71" t="str">
        <f>"Inclination used: "&amp;E71&amp;"deg"</f>
        <v>Inclination used: -229.913553218457deg</v>
      </c>
    </row>
    <row r="72" spans="2:8" ht="15.6">
      <c r="B72" s="106">
        <f>B70+1</f>
        <v>32</v>
      </c>
      <c r="C72" s="105" t="s">
        <v>138</v>
      </c>
      <c r="D72" s="103" t="s">
        <v>127</v>
      </c>
      <c r="E72" s="107" cm="1">
        <f t="array" ref="E72">INDEX(SGRE!L94:O94,case_number)</f>
        <v>603.95300444131044</v>
      </c>
      <c r="F72" s="107" cm="1">
        <f t="array" aca="1" ref="F72" ca="1">-INDIRECT(sheet_name&amp;"!DZ_gap_tot")</f>
        <v>603.67521324665006</v>
      </c>
      <c r="G72" s="107"/>
    </row>
    <row r="73" spans="2:8" ht="15.6">
      <c r="B73" s="106">
        <f>B72+1</f>
        <v>33</v>
      </c>
      <c r="C73" s="103" t="s">
        <v>137</v>
      </c>
      <c r="D73" s="103" t="s">
        <v>127</v>
      </c>
      <c r="E73" s="107" cm="1">
        <f t="array" ref="E73">INDEX(SGRE!L95:O95,case_number)</f>
        <v>3500</v>
      </c>
      <c r="F73" s="107" t="s">
        <v>85</v>
      </c>
      <c r="G73" s="118"/>
    </row>
    <row r="74" spans="2:8" ht="15.6">
      <c r="B74" s="106">
        <f>B73+1</f>
        <v>34</v>
      </c>
      <c r="C74" s="103" t="s">
        <v>136</v>
      </c>
      <c r="D74" s="103" t="s">
        <v>127</v>
      </c>
      <c r="E74" s="107" cm="1">
        <f t="array" ref="E74">INDEX(SGRE!L96:O96,case_number)</f>
        <v>2014.2804877190592</v>
      </c>
      <c r="F74" s="108" cm="1">
        <f t="array" aca="1" ref="F74" ca="1">INDIRECT(sheet_name&amp;"!Z0")</f>
        <v>2013.5972413350078</v>
      </c>
      <c r="G74" s="118">
        <f ca="1">(F74-E74)/E74</f>
        <v>-3.3920121264996705E-4</v>
      </c>
      <c r="H74" t="s">
        <v>306</v>
      </c>
    </row>
    <row r="75" spans="2:8" ht="15.6">
      <c r="B75" s="106">
        <f>B74+1</f>
        <v>35</v>
      </c>
      <c r="C75" s="103" t="s">
        <v>136</v>
      </c>
      <c r="D75" s="103" t="s">
        <v>127</v>
      </c>
      <c r="E75" s="107" cm="1">
        <f t="array" ref="E75">INDEX(SGRE!L97:O97,case_number)</f>
        <v>2014.2804877190592</v>
      </c>
      <c r="F75" s="110" t="s">
        <v>85</v>
      </c>
      <c r="G75" s="104"/>
      <c r="H75" t="s">
        <v>305</v>
      </c>
    </row>
    <row r="76" spans="2:8" ht="15.6">
      <c r="B76" s="106">
        <f>B75+1</f>
        <v>36</v>
      </c>
      <c r="C76" s="105" t="s">
        <v>135</v>
      </c>
      <c r="D76" s="103" t="s">
        <v>122</v>
      </c>
      <c r="E76" s="107" cm="1">
        <f t="array" ref="E76">INDEX(SGRE!L98:O98,case_number)</f>
        <v>1.5892672928447782</v>
      </c>
      <c r="F76" s="109" cm="1">
        <f t="array" aca="1" ref="F76" ca="1">INDIRECT(sheet_name&amp;"!stiffness_correction_factor")</f>
        <v>1.58928054866597</v>
      </c>
      <c r="G76" s="118">
        <f ca="1">(F76-E76)/E76</f>
        <v>8.340838102883702E-6</v>
      </c>
    </row>
    <row r="77" spans="2:8">
      <c r="B77" s="106"/>
      <c r="C77" s="105" t="s">
        <v>271</v>
      </c>
      <c r="D77" s="103" t="s">
        <v>125</v>
      </c>
      <c r="E77" s="107" cm="1">
        <f t="array" ref="E77">INDEX(SGRE!L99:O99,case_number)</f>
        <v>194.09413912347242</v>
      </c>
      <c r="F77" s="107" t="s">
        <v>85</v>
      </c>
      <c r="G77" s="118"/>
    </row>
    <row r="78" spans="2:8" ht="15.6">
      <c r="B78" s="106">
        <f>B76+1</f>
        <v>37</v>
      </c>
      <c r="C78" s="103" t="s">
        <v>134</v>
      </c>
      <c r="D78" s="103" t="s">
        <v>133</v>
      </c>
      <c r="E78" s="107" cm="1">
        <f t="array" ref="E78">INDEX(SGRE!L100:O100,case_number)</f>
        <v>16645.181656612192</v>
      </c>
      <c r="F78" s="107" cm="1">
        <f t="array" aca="1" ref="F78" ca="1">INDIRECT(sheet_name&amp;"!k_seg")</f>
        <v>16622.124570863823</v>
      </c>
      <c r="G78" s="118">
        <f ca="1">(F78-E78)/E78</f>
        <v>-1.3852108210071538E-3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125</v>
      </c>
      <c r="E80" s="107" cm="1">
        <f t="array" ref="E80">INDEX(SGRE!L102:O102,case_number)</f>
        <v>0.62347491540903066</v>
      </c>
      <c r="F80" s="109" cm="1">
        <f t="array" aca="1" ref="F80" ca="1">INDIRECT(sheet_name&amp;"!u")</f>
        <v>0.62411535344109015</v>
      </c>
      <c r="G80" s="118">
        <f ca="1">(F80-E80)/E80</f>
        <v>1.0272073763213517E-3</v>
      </c>
      <c r="H80" t="s">
        <v>306</v>
      </c>
    </row>
    <row r="81" spans="2:8">
      <c r="B81" s="106">
        <f>B80+1</f>
        <v>39</v>
      </c>
      <c r="C81" s="103" t="s">
        <v>1</v>
      </c>
      <c r="D81" s="103" t="s">
        <v>125</v>
      </c>
      <c r="E81" s="107" cm="1">
        <f t="array" ref="E81">INDEX(SGRE!L103:O103,case_number)</f>
        <v>0.62347491540903066</v>
      </c>
      <c r="F81" s="104"/>
      <c r="G81" s="104"/>
      <c r="H81" t="s">
        <v>305</v>
      </c>
    </row>
    <row r="82" spans="2:8" ht="15.6">
      <c r="B82" s="106"/>
      <c r="C82" s="103" t="s">
        <v>132</v>
      </c>
      <c r="D82" s="103" t="s">
        <v>127</v>
      </c>
      <c r="E82" s="107" cm="1">
        <f t="array" ref="E82">INDEX(SGRE!L104:O104,case_number)</f>
        <v>14795</v>
      </c>
      <c r="F82" s="110" t="s">
        <v>85</v>
      </c>
      <c r="G82" s="110"/>
    </row>
    <row r="83" spans="2:8" ht="15.6">
      <c r="B83" s="106">
        <f>B81+1</f>
        <v>40</v>
      </c>
      <c r="C83" s="105" t="s">
        <v>131</v>
      </c>
      <c r="D83" s="103" t="s">
        <v>127</v>
      </c>
      <c r="E83" s="107" cm="1">
        <f t="array" ref="E83">INDEX(SGRE!L105:O105,case_number)</f>
        <v>-123.29166666666667</v>
      </c>
      <c r="F83" s="107" cm="1">
        <f t="array" aca="1" ref="F83" ca="1">INDIRECT(sheet_name&amp;"!Z_dw")</f>
        <v>-123.29166666666667</v>
      </c>
      <c r="G83" s="118">
        <f ca="1">(F83-E83)/E83</f>
        <v>0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130</v>
      </c>
      <c r="D85" s="103" t="s">
        <v>127</v>
      </c>
      <c r="E85" s="107" cm="1">
        <f t="array" ref="E85">INDEX(SGRE!L107:O107,case_number)</f>
        <v>-727.24467110797707</v>
      </c>
      <c r="F85" s="107" cm="1">
        <f t="array" aca="1" ref="F85" ca="1">INDIRECT(sheet_name&amp;"!point4.Z")</f>
        <v>-726.96687991331669</v>
      </c>
      <c r="G85" s="118">
        <f ca="1">(F85-E85)/E85</f>
        <v>-3.8197762829552035E-4</v>
      </c>
    </row>
    <row r="86" spans="2:8" ht="15.6">
      <c r="B86" s="106">
        <f t="shared" si="6"/>
        <v>43</v>
      </c>
      <c r="C86" s="105" t="s">
        <v>129</v>
      </c>
      <c r="D86" s="103" t="s">
        <v>122</v>
      </c>
      <c r="E86" s="107" cm="1">
        <f t="array" ref="E86">INDEX(SGRE!L108:O108,case_number)</f>
        <v>2.074264142265865E-2</v>
      </c>
      <c r="F86" s="113" cm="1">
        <f t="array" aca="1" ref="F86" ca="1">INDIRECT(sheet_name&amp;"!true_force_initial_slope")</f>
        <v>2.0671067166228969E-2</v>
      </c>
      <c r="G86" s="118">
        <f ca="1">(F86-E86)/E86</f>
        <v>-3.4505854375660805E-3</v>
      </c>
    </row>
    <row r="87" spans="2:8" ht="15.6">
      <c r="B87" s="106">
        <f t="shared" si="6"/>
        <v>44</v>
      </c>
      <c r="C87" s="103" t="s">
        <v>128</v>
      </c>
      <c r="D87" s="103" t="s">
        <v>127</v>
      </c>
      <c r="E87" s="107" cm="1">
        <f t="array" ref="E87">INDEX(SGRE!L109:O109,case_number)</f>
        <v>2793.736209696368</v>
      </c>
      <c r="F87" s="108" cm="1">
        <f t="array" aca="1" ref="F87" ca="1">INDIRECT(sheet_name&amp;"!point4.Fs")</f>
        <v>2793.7606945601951</v>
      </c>
      <c r="G87" s="118">
        <f ca="1">(F87-E87)/E87</f>
        <v>8.7642003358092222E-6</v>
      </c>
    </row>
    <row r="88" spans="2:8" ht="15.6">
      <c r="B88" s="106">
        <f t="shared" si="6"/>
        <v>45</v>
      </c>
      <c r="C88" s="105" t="s">
        <v>126</v>
      </c>
      <c r="D88" s="103" t="s">
        <v>122</v>
      </c>
      <c r="E88" s="107" cm="1">
        <f t="array" ref="E88">INDEX(SGRE!L110:O110,case_number)</f>
        <v>6.1390058613177742E-2</v>
      </c>
      <c r="F88" s="110" cm="1">
        <f t="array" aca="1" ref="F88" ca="1">INDIRECT(sheet_name&amp;"!polynomial_initial_slope")</f>
        <v>6.1359701710929609E-2</v>
      </c>
      <c r="G88" s="104"/>
      <c r="H88" t="s">
        <v>306</v>
      </c>
    </row>
    <row r="89" spans="2:8" ht="15.6">
      <c r="B89" s="106">
        <f t="shared" si="6"/>
        <v>46</v>
      </c>
      <c r="C89" s="105" t="s">
        <v>126</v>
      </c>
      <c r="D89" s="103" t="s">
        <v>122</v>
      </c>
      <c r="E89" s="107" cm="1">
        <f t="array" ref="E89">INDEX(SGRE!L111:O111,case_number)</f>
        <v>6.1390058613177742E-2</v>
      </c>
      <c r="F89" s="104"/>
      <c r="G89" s="104"/>
      <c r="H89" t="s">
        <v>305</v>
      </c>
    </row>
    <row r="90" spans="2:8" ht="15.6">
      <c r="B90" s="106">
        <f t="shared" si="6"/>
        <v>47</v>
      </c>
      <c r="C90" s="105" t="s">
        <v>124</v>
      </c>
      <c r="D90" s="103" t="s">
        <v>120</v>
      </c>
      <c r="E90" s="128"/>
      <c r="F90" s="128"/>
      <c r="G90" s="128"/>
      <c r="H90" t="s">
        <v>270</v>
      </c>
    </row>
    <row r="91" spans="2:8">
      <c r="B91" s="106">
        <f t="shared" si="6"/>
        <v>48</v>
      </c>
      <c r="C91" s="105" t="s">
        <v>2</v>
      </c>
      <c r="D91" s="103" t="s">
        <v>125</v>
      </c>
      <c r="E91" s="107" cm="1">
        <f t="array" ref="E91">INDEX(SGRE!L113:O113,case_number)</f>
        <v>90.212333179266878</v>
      </c>
      <c r="F91" s="107" cm="1">
        <f t="array" aca="1" ref="F91" ca="1">INDIRECT(sheet_name&amp;"!a_star")</f>
        <v>90.22156040221428</v>
      </c>
      <c r="G91" s="118">
        <f ca="1">(F91-E91)/E91</f>
        <v>1.0228338656385204E-4</v>
      </c>
    </row>
    <row r="92" spans="2:8" ht="15.6">
      <c r="B92" s="106"/>
      <c r="C92" s="105" t="s">
        <v>268</v>
      </c>
      <c r="D92" s="103" t="s">
        <v>267</v>
      </c>
      <c r="E92" s="107" cm="1">
        <f t="array" ref="E92">INDEX(SGRE!L114:O114,case_number)</f>
        <v>1.6641565715404047E-9</v>
      </c>
      <c r="F92" s="114" cm="1">
        <f t="array" aca="1" ref="F92" ca="1">1/(INDIRECT(sheet_name&amp;"!bolt.bending_stiffness")*1000000)</f>
        <v>1.6642873860837012E-9</v>
      </c>
      <c r="G92" s="118">
        <f ca="1">(F92-E92)/E92</f>
        <v>7.8607112776309221E-5</v>
      </c>
      <c r="H92" t="s">
        <v>269</v>
      </c>
    </row>
    <row r="93" spans="2:8" ht="15.6">
      <c r="B93" s="106">
        <f>B91+1</f>
        <v>49</v>
      </c>
      <c r="C93" s="105" t="s">
        <v>124</v>
      </c>
      <c r="D93" s="103" t="s">
        <v>120</v>
      </c>
      <c r="E93" s="128"/>
      <c r="F93" s="128"/>
      <c r="G93" s="128"/>
      <c r="H93" t="s">
        <v>266</v>
      </c>
    </row>
    <row r="94" spans="2:8" ht="15.6">
      <c r="B94" s="106">
        <f>B93+1</f>
        <v>50</v>
      </c>
      <c r="C94" s="105" t="s">
        <v>265</v>
      </c>
      <c r="D94" s="103" t="s">
        <v>122</v>
      </c>
      <c r="E94" s="128"/>
      <c r="F94" s="128"/>
      <c r="G94" s="128"/>
      <c r="H94" t="s">
        <v>264</v>
      </c>
    </row>
    <row r="95" spans="2:8" ht="15.6">
      <c r="B95" s="106">
        <f>B94+1</f>
        <v>51</v>
      </c>
      <c r="C95" s="105" t="s">
        <v>263</v>
      </c>
      <c r="D95" s="103" t="s">
        <v>122</v>
      </c>
      <c r="E95" s="128"/>
      <c r="F95" s="128"/>
      <c r="G95" s="128"/>
      <c r="H95" t="s">
        <v>264</v>
      </c>
    </row>
    <row r="96" spans="2:8" ht="15.6">
      <c r="B96" s="106">
        <f>B95+1</f>
        <v>52</v>
      </c>
      <c r="C96" s="105" t="s">
        <v>123</v>
      </c>
      <c r="D96" s="103" t="s">
        <v>122</v>
      </c>
      <c r="E96" s="107" cm="1">
        <f t="array" ref="E96">INDEX(SGRE!L118:O118,case_number)</f>
        <v>0.21997940931318824</v>
      </c>
      <c r="F96" s="113" cm="1">
        <f t="array" aca="1" ref="F96" ca="1">INDIRECT(sheet_name&amp;"!true_moment_initial_slope")</f>
        <v>0.21981423008071271</v>
      </c>
      <c r="G96" s="118">
        <f ca="1">(F96-E96)/E96</f>
        <v>-7.5088497142183886E-4</v>
      </c>
      <c r="H96" t="s">
        <v>306</v>
      </c>
    </row>
    <row r="97" spans="2:21" ht="15.6">
      <c r="C97" s="105" t="s">
        <v>123</v>
      </c>
      <c r="D97" s="103" t="s">
        <v>122</v>
      </c>
      <c r="E97" s="107" cm="1">
        <f t="array" ref="E97">INDEX(SGRE!L119:O119,case_number)</f>
        <v>0.13003100863543465</v>
      </c>
      <c r="F97" s="109" t="s">
        <v>85</v>
      </c>
      <c r="G97" s="109" t="s">
        <v>85</v>
      </c>
      <c r="H97" t="s">
        <v>305</v>
      </c>
    </row>
    <row r="98" spans="2:21" ht="15.6">
      <c r="B98" s="106">
        <f>B96+1</f>
        <v>53</v>
      </c>
      <c r="C98" s="105" t="s">
        <v>121</v>
      </c>
      <c r="D98" s="103" t="s">
        <v>120</v>
      </c>
      <c r="E98" s="107" cm="1">
        <f t="array" ref="E98">INDEX(SGRE!L120:O120,case_number)</f>
        <v>-83.591865313834248</v>
      </c>
      <c r="F98" s="108" cm="1">
        <f t="array" aca="1" ref="F98" ca="1">INDIRECT(sheet_name&amp;"!point4.Ms")</f>
        <v>-83.526846014534726</v>
      </c>
      <c r="G98" s="118">
        <f ca="1">(F98-E98)/E98</f>
        <v>-7.7781850010662484E-4</v>
      </c>
      <c r="H98" t="s">
        <v>306</v>
      </c>
    </row>
    <row r="99" spans="2:21" ht="15.6">
      <c r="C99" s="105" t="s">
        <v>121</v>
      </c>
      <c r="D99" s="103" t="s">
        <v>120</v>
      </c>
      <c r="E99" s="107" cm="1">
        <f t="array" ref="E99">INDEX(SGRE!L121:O121,case_number)</f>
        <v>-56.743689789593809</v>
      </c>
      <c r="F99" s="109" t="s">
        <v>85</v>
      </c>
      <c r="G99" s="109" t="s">
        <v>85</v>
      </c>
      <c r="H99" t="s">
        <v>305</v>
      </c>
    </row>
    <row r="100" spans="2:21" ht="15.6">
      <c r="C100" s="105" t="s">
        <v>353</v>
      </c>
      <c r="D100" s="103" t="s">
        <v>127</v>
      </c>
      <c r="E100" s="107" cm="1">
        <f t="array" ref="E100">INDEX(SGRE!L122:O122,case_number)</f>
        <v>-123.19166666666668</v>
      </c>
      <c r="F100" s="109" t="s">
        <v>85</v>
      </c>
      <c r="G100" s="109" t="s">
        <v>85</v>
      </c>
      <c r="H100" s="142" t="s">
        <v>336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351</v>
      </c>
      <c r="D101" s="103" t="s">
        <v>120</v>
      </c>
      <c r="E101" s="107" cm="1">
        <f t="array" ref="E101">INDEX(SGRE!L123:O123,case_number)</f>
        <v>0</v>
      </c>
      <c r="F101" s="109" t="s">
        <v>85</v>
      </c>
      <c r="G101" s="109" t="s">
        <v>85</v>
      </c>
      <c r="H101" s="142" t="s">
        <v>336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350</v>
      </c>
      <c r="D102" s="103" t="s">
        <v>120</v>
      </c>
      <c r="E102" s="107" cm="1">
        <f t="array" ref="E102">INDEX(SGRE!L124:O124,case_number)</f>
        <v>-79.335111063732128</v>
      </c>
      <c r="F102" s="109" t="s">
        <v>85</v>
      </c>
      <c r="G102" s="109" t="s">
        <v>85</v>
      </c>
      <c r="H102" s="142" t="s">
        <v>336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349</v>
      </c>
      <c r="D103" s="103" t="s">
        <v>120</v>
      </c>
      <c r="E103" s="107" cm="1">
        <f t="array" ref="E103">INDEX(SGRE!L125:O125,case_number)</f>
        <v>-17.477380621641423</v>
      </c>
      <c r="F103" s="109" t="s">
        <v>85</v>
      </c>
      <c r="G103" s="109" t="s">
        <v>85</v>
      </c>
      <c r="H103" s="142" t="s">
        <v>337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351</v>
      </c>
      <c r="D104" s="103" t="s">
        <v>120</v>
      </c>
      <c r="E104" s="107" cm="1">
        <f t="array" ref="E104">INDEX(SGRE!L126:O126,case_number)</f>
        <v>2.2047237830872942E-3</v>
      </c>
      <c r="F104" s="109" t="s">
        <v>85</v>
      </c>
      <c r="G104" s="109" t="s">
        <v>85</v>
      </c>
      <c r="H104" s="142" t="s">
        <v>337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350</v>
      </c>
      <c r="D105" s="103" t="s">
        <v>120</v>
      </c>
      <c r="E105" s="107" cm="1">
        <f t="array" ref="E105">INDEX(SGRE!L127:O127,case_number)</f>
        <v>-79.270763558982907</v>
      </c>
      <c r="F105" s="109" t="s">
        <v>85</v>
      </c>
      <c r="G105" s="109" t="s">
        <v>85</v>
      </c>
      <c r="H105" s="142" t="s">
        <v>337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349</v>
      </c>
      <c r="D106" s="103" t="s">
        <v>120</v>
      </c>
      <c r="E106" s="107" cm="1">
        <f t="array" ref="E106">INDEX(SGRE!L128:O128,case_number)</f>
        <v>-17.46437752077788</v>
      </c>
      <c r="F106" s="109" t="s">
        <v>85</v>
      </c>
      <c r="G106" s="109" t="s">
        <v>85</v>
      </c>
    </row>
    <row r="107" spans="2:21" ht="16.2">
      <c r="C107" s="147" t="s">
        <v>347</v>
      </c>
      <c r="D107" s="103" t="s">
        <v>120</v>
      </c>
      <c r="E107" s="107" cm="1">
        <f t="array" ref="E107">INDEX(SGRE!L129:O129,case_number)</f>
        <v>-17.163252728871843</v>
      </c>
      <c r="F107" s="109" t="s">
        <v>85</v>
      </c>
      <c r="G107" s="109" t="s">
        <v>85</v>
      </c>
    </row>
    <row r="108" spans="2:21" ht="16.2">
      <c r="C108" s="147" t="s">
        <v>346</v>
      </c>
      <c r="D108" s="103" t="s">
        <v>120</v>
      </c>
      <c r="E108" s="107" cm="1">
        <f t="array" ref="E108">INDEX(SGRE!L130:O130,case_number)</f>
        <v>3006.1721426495624</v>
      </c>
      <c r="F108" s="109" t="s">
        <v>85</v>
      </c>
      <c r="G108" s="109" t="s">
        <v>85</v>
      </c>
    </row>
    <row r="109" spans="2:21" ht="16.2">
      <c r="C109" s="147" t="s">
        <v>345</v>
      </c>
      <c r="D109" s="103" t="s">
        <v>120</v>
      </c>
      <c r="E109" s="107" cm="1">
        <f t="array" ref="E109">INDEX(SGRE!L131:O131,case_number)</f>
        <v>90.017504647479655</v>
      </c>
      <c r="F109" s="109" t="s">
        <v>85</v>
      </c>
      <c r="G109" s="109" t="s">
        <v>85</v>
      </c>
      <c r="H109" t="s">
        <v>338</v>
      </c>
    </row>
    <row r="110" spans="2:21" ht="15.6">
      <c r="C110" s="112" t="s">
        <v>344</v>
      </c>
      <c r="E110" s="107" cm="1">
        <f t="array" ref="E110">INDEX(SGRE!L132:O132,case_number)</f>
        <v>5.5879032615876187E-4</v>
      </c>
      <c r="F110" s="109" t="s">
        <v>85</v>
      </c>
      <c r="G110" s="109" t="s">
        <v>85</v>
      </c>
      <c r="H110" t="s">
        <v>339</v>
      </c>
    </row>
    <row r="111" spans="2:21" ht="15.6">
      <c r="C111" s="112" t="s">
        <v>343</v>
      </c>
      <c r="E111" s="107" cm="1">
        <f t="array" ref="E111">INDEX(SGRE!L133:O133,case_number)</f>
        <v>0.35771191151935239</v>
      </c>
      <c r="F111" s="109" t="s">
        <v>85</v>
      </c>
      <c r="G111" s="109" t="s">
        <v>85</v>
      </c>
      <c r="H111" t="s">
        <v>340</v>
      </c>
    </row>
    <row r="112" spans="2:21" ht="15.6">
      <c r="C112" s="112" t="s">
        <v>342</v>
      </c>
      <c r="E112" s="107" cm="1">
        <f t="array" ref="E112">INDEX(SGRE!L134:O134,case_number)</f>
        <v>18.445565442527482</v>
      </c>
      <c r="F112" s="109" t="s">
        <v>85</v>
      </c>
      <c r="G112" s="109" t="s">
        <v>85</v>
      </c>
    </row>
    <row r="113" spans="3:8">
      <c r="C113" s="112"/>
    </row>
    <row r="114" spans="3:8">
      <c r="C114" s="103" t="s">
        <v>92</v>
      </c>
      <c r="D114" s="146"/>
      <c r="E114" s="107" cm="1">
        <f t="array" ref="E114">INDEX(SGRE!L136:O136,case_number)</f>
        <v>0.94578412121086419</v>
      </c>
      <c r="F114" s="109" cm="1">
        <f t="array" aca="1" ref="F114" ca="1">INDIRECT(sheet_name&amp;"!fatigue.damage")</f>
        <v>0.94725441426577939</v>
      </c>
      <c r="G114" s="118">
        <f ca="1">(F114-E114)/E114</f>
        <v>1.5545757450789244E-3</v>
      </c>
      <c r="H114" t="s">
        <v>341</v>
      </c>
    </row>
  </sheetData>
  <conditionalFormatting sqref="G2 G76:G80">
    <cfRule type="cellIs" dxfId="28" priority="2" operator="notBetween">
      <formula>-0.001</formula>
      <formula>0.001</formula>
    </cfRule>
  </conditionalFormatting>
  <conditionalFormatting sqref="G7:G9">
    <cfRule type="cellIs" dxfId="27" priority="20" operator="notBetween">
      <formula>-0.001</formula>
      <formula>0.001</formula>
    </cfRule>
  </conditionalFormatting>
  <conditionalFormatting sqref="G14:G16">
    <cfRule type="cellIs" dxfId="26" priority="19" operator="notBetween">
      <formula>-0.001</formula>
      <formula>0.001</formula>
    </cfRule>
  </conditionalFormatting>
  <conditionalFormatting sqref="G26:G31">
    <cfRule type="cellIs" dxfId="25" priority="18" operator="notBetween">
      <formula>-0.001</formula>
      <formula>0.001</formula>
    </cfRule>
  </conditionalFormatting>
  <conditionalFormatting sqref="G38:G39">
    <cfRule type="cellIs" dxfId="24" priority="17" operator="notBetween">
      <formula>-0.001</formula>
      <formula>0.001</formula>
    </cfRule>
  </conditionalFormatting>
  <conditionalFormatting sqref="G45:G50">
    <cfRule type="cellIs" dxfId="23" priority="6" operator="notBetween">
      <formula>-0.001</formula>
      <formula>0.001</formula>
    </cfRule>
  </conditionalFormatting>
  <conditionalFormatting sqref="G54:G57">
    <cfRule type="cellIs" dxfId="22" priority="5" operator="notBetween">
      <formula>-0.001</formula>
      <formula>0.001</formula>
    </cfRule>
  </conditionalFormatting>
  <conditionalFormatting sqref="G59:G63">
    <cfRule type="cellIs" dxfId="21" priority="15" operator="notBetween">
      <formula>-0.001</formula>
      <formula>0.001</formula>
    </cfRule>
  </conditionalFormatting>
  <conditionalFormatting sqref="G65:G68">
    <cfRule type="cellIs" dxfId="20" priority="14" operator="notBetween">
      <formula>-0.001</formula>
      <formula>0.001</formula>
    </cfRule>
  </conditionalFormatting>
  <conditionalFormatting sqref="G71">
    <cfRule type="cellIs" dxfId="19" priority="3" operator="notBetween">
      <formula>-0.001</formula>
      <formula>0.001</formula>
    </cfRule>
  </conditionalFormatting>
  <conditionalFormatting sqref="G73:G74">
    <cfRule type="cellIs" dxfId="18" priority="13" operator="notBetween">
      <formula>-0.001</formula>
      <formula>0.001</formula>
    </cfRule>
  </conditionalFormatting>
  <conditionalFormatting sqref="G83">
    <cfRule type="cellIs" dxfId="17" priority="11" operator="notBetween">
      <formula>-0.001</formula>
      <formula>0.001</formula>
    </cfRule>
  </conditionalFormatting>
  <conditionalFormatting sqref="G85:G87">
    <cfRule type="cellIs" dxfId="16" priority="10" operator="notBetween">
      <formula>-0.001</formula>
      <formula>0.001</formula>
    </cfRule>
  </conditionalFormatting>
  <conditionalFormatting sqref="G91:G92">
    <cfRule type="cellIs" dxfId="15" priority="9" operator="notBetween">
      <formula>-0.001</formula>
      <formula>0.001</formula>
    </cfRule>
  </conditionalFormatting>
  <conditionalFormatting sqref="G96">
    <cfRule type="cellIs" dxfId="14" priority="8" operator="notBetween">
      <formula>-0.001</formula>
      <formula>0.001</formula>
    </cfRule>
  </conditionalFormatting>
  <conditionalFormatting sqref="G98">
    <cfRule type="cellIs" dxfId="13" priority="7" operator="notBetween">
      <formula>-0.001</formula>
      <formula>0.001</formula>
    </cfRule>
  </conditionalFormatting>
  <conditionalFormatting sqref="G114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2"/>
  <sheetViews>
    <sheetView showGridLines="0" zoomScaleNormal="100" workbookViewId="0">
      <pane ySplit="1" topLeftCell="A159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">
        <v>101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">
        <v>103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">
        <v>102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30°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7" t="s">
        <v>324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-763.3152239089826</v>
      </c>
      <c r="P66" s="71">
        <v>-734.24863474422762</v>
      </c>
      <c r="Q66" s="71">
        <v>-705.18204557947263</v>
      </c>
      <c r="R66" s="71">
        <v>-676.11545641471776</v>
      </c>
      <c r="S66" s="71">
        <v>-647.04886724996277</v>
      </c>
      <c r="T66" s="71">
        <v>-617.98227808520778</v>
      </c>
      <c r="U66" s="71">
        <v>-588.91568892045279</v>
      </c>
      <c r="V66" s="71">
        <v>-559.84909975569792</v>
      </c>
      <c r="W66" s="71">
        <v>-530.78251059094293</v>
      </c>
      <c r="X66" s="71">
        <v>-501.71592142618795</v>
      </c>
      <c r="Y66" s="71">
        <v>-472.64933226143302</v>
      </c>
      <c r="Z66" s="71">
        <v>-443.58274309667803</v>
      </c>
      <c r="AA66" s="71">
        <v>-414.5161539319231</v>
      </c>
      <c r="AB66" s="71">
        <v>-385.44956476716811</v>
      </c>
      <c r="AC66" s="71">
        <v>-356.38297560241318</v>
      </c>
      <c r="AD66" s="71">
        <v>-327.3163864376582</v>
      </c>
      <c r="AE66" s="71">
        <v>-298.24979727290327</v>
      </c>
      <c r="AF66" s="71">
        <v>-269.18320810814828</v>
      </c>
      <c r="AG66" s="71">
        <v>-240.11661894339335</v>
      </c>
      <c r="AH66" s="71">
        <v>-211.05002977863839</v>
      </c>
      <c r="AI66" s="71">
        <v>-181.98344061388343</v>
      </c>
      <c r="AJ66" s="71">
        <v>-152.91685144912847</v>
      </c>
      <c r="AK66" s="71">
        <v>-123.85026228437351</v>
      </c>
      <c r="AL66" s="71">
        <v>-94.783673119618555</v>
      </c>
      <c r="AM66" s="71">
        <v>-65.717083954863597</v>
      </c>
      <c r="AN66" s="71">
        <v>-36.650494790108638</v>
      </c>
      <c r="AO66" s="71">
        <v>-7.5839056253536841</v>
      </c>
      <c r="AP66" s="71">
        <v>21.482683539401275</v>
      </c>
      <c r="AQ66" s="71">
        <v>50.54927270415623</v>
      </c>
      <c r="AR66" s="71">
        <v>79.615861868911196</v>
      </c>
      <c r="AS66" s="71">
        <v>108.68245103366615</v>
      </c>
      <c r="AT66" s="71">
        <v>137.74904019842111</v>
      </c>
      <c r="AU66" s="71">
        <v>166.81562936317607</v>
      </c>
      <c r="AV66" s="71">
        <v>195.88221852793103</v>
      </c>
      <c r="AW66" s="71">
        <v>224.94880769268599</v>
      </c>
      <c r="AX66" s="71">
        <v>254.01539685744095</v>
      </c>
      <c r="AY66" s="71">
        <v>283.08198602219591</v>
      </c>
      <c r="AZ66" s="71">
        <v>312.14857518695072</v>
      </c>
      <c r="BA66" s="71">
        <v>341.21516435170582</v>
      </c>
      <c r="BB66" s="71">
        <v>370.28175351646087</v>
      </c>
      <c r="BC66" s="71">
        <v>399.34834268121574</v>
      </c>
      <c r="BD66" s="71">
        <v>428.41493184597056</v>
      </c>
      <c r="BE66" s="71">
        <v>457.48152101072566</v>
      </c>
      <c r="BF66" s="71">
        <v>486.5481101754807</v>
      </c>
      <c r="BG66" s="71">
        <v>515.61469934023557</v>
      </c>
      <c r="BH66" s="71">
        <v>544.68128850499045</v>
      </c>
      <c r="BI66" s="71">
        <v>573.74787766974544</v>
      </c>
      <c r="BJ66" s="71">
        <v>602.81446683450054</v>
      </c>
      <c r="BK66" s="71">
        <v>631.88105599925541</v>
      </c>
      <c r="BL66" s="71">
        <v>660.94764516401028</v>
      </c>
      <c r="BM66" s="71">
        <v>690.01423432876527</v>
      </c>
      <c r="BN66" s="71">
        <v>719.08082349352037</v>
      </c>
      <c r="BO66" s="71">
        <v>748.14741265827524</v>
      </c>
      <c r="BP66" s="71">
        <v>777.21400182303012</v>
      </c>
      <c r="BQ66" s="71">
        <v>806.2805909877851</v>
      </c>
      <c r="BR66" s="71">
        <v>835.3471801525402</v>
      </c>
      <c r="BS66" s="71">
        <v>864.41376931729508</v>
      </c>
      <c r="BT66" s="71">
        <v>893.48035848204995</v>
      </c>
      <c r="BU66" s="71">
        <v>922.54694764680494</v>
      </c>
      <c r="BV66" s="71">
        <v>951.61353681156004</v>
      </c>
      <c r="BW66" s="71">
        <v>980.68012597631491</v>
      </c>
      <c r="BX66" s="71">
        <v>1009.7467151410697</v>
      </c>
      <c r="BY66" s="71">
        <v>1038.8133043058249</v>
      </c>
      <c r="BZ66" s="71">
        <v>1067.8798934705796</v>
      </c>
      <c r="CA66" s="71">
        <v>1096.9464826353346</v>
      </c>
      <c r="CB66" s="71">
        <v>1126.0130718000894</v>
      </c>
      <c r="CC66" s="71">
        <v>1155.0796609648448</v>
      </c>
      <c r="CD66" s="71">
        <v>1184.1462501295996</v>
      </c>
      <c r="CE66" s="71">
        <v>1213.2128392943544</v>
      </c>
      <c r="CF66" s="71">
        <v>1242.2794284591093</v>
      </c>
      <c r="CG66" s="71">
        <v>1271.3460176238646</v>
      </c>
      <c r="CH66" s="71">
        <v>1300.4126067886193</v>
      </c>
      <c r="CI66" s="71">
        <v>1329.4791959533743</v>
      </c>
      <c r="CJ66" s="71">
        <v>1358.5457851181291</v>
      </c>
      <c r="CK66" s="71">
        <v>1387.612374282884</v>
      </c>
      <c r="CL66" s="71">
        <v>1416.6789634476393</v>
      </c>
      <c r="CM66" s="71">
        <v>1445.745552612394</v>
      </c>
      <c r="CN66" s="71">
        <v>1474.812141777149</v>
      </c>
      <c r="CO66" s="71">
        <v>1503.8787309419042</v>
      </c>
      <c r="CP66" s="71">
        <v>1532.945320106659</v>
      </c>
      <c r="CQ66" s="71">
        <v>1562.011909271414</v>
      </c>
      <c r="CR66" s="71">
        <v>1591.0784984361687</v>
      </c>
      <c r="CS66" s="71">
        <v>1620.1450876009237</v>
      </c>
      <c r="CT66" s="71">
        <v>1649.2116767656789</v>
      </c>
      <c r="CU66" s="71">
        <v>1678.2782659304337</v>
      </c>
      <c r="CV66" s="71">
        <v>1707.3448550951887</v>
      </c>
      <c r="CW66" s="71">
        <v>1736.4114442599439</v>
      </c>
      <c r="CX66" s="71">
        <v>1765.4780334246987</v>
      </c>
      <c r="CY66" s="71">
        <v>1794.5446225894536</v>
      </c>
      <c r="CZ66" s="71">
        <v>1823.6112117542084</v>
      </c>
      <c r="DA66" s="71">
        <v>1852.6778009189634</v>
      </c>
      <c r="DB66" s="71">
        <v>1881.7443900837186</v>
      </c>
      <c r="DC66" s="71">
        <v>1910.8109792484734</v>
      </c>
      <c r="DD66" s="71">
        <v>1939.8775684132283</v>
      </c>
      <c r="DE66" s="71">
        <v>1968.9441575779836</v>
      </c>
      <c r="DF66" s="71">
        <v>1998.0107467427383</v>
      </c>
      <c r="DG66" s="71">
        <v>2027.0773359074933</v>
      </c>
      <c r="DH66" s="71">
        <v>2056.1439250722483</v>
      </c>
      <c r="DI66" s="71">
        <v>2085.2105142370028</v>
      </c>
      <c r="DJ66" s="71">
        <v>2114.2771034017583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2793.7606945601951</v>
      </c>
      <c r="P67" s="71">
        <v>2793.7606945601951</v>
      </c>
      <c r="Q67" s="71">
        <v>2793.7688198354372</v>
      </c>
      <c r="R67" s="71">
        <v>2793.8049672376933</v>
      </c>
      <c r="S67" s="71">
        <v>2793.8700445909708</v>
      </c>
      <c r="T67" s="71">
        <v>2793.964051895271</v>
      </c>
      <c r="U67" s="71">
        <v>2794.0869891505931</v>
      </c>
      <c r="V67" s="71">
        <v>2794.238856356937</v>
      </c>
      <c r="W67" s="71">
        <v>2794.4196535143028</v>
      </c>
      <c r="X67" s="71">
        <v>2794.62938062269</v>
      </c>
      <c r="Y67" s="71">
        <v>2794.8680376820998</v>
      </c>
      <c r="Z67" s="71">
        <v>2795.1356246925311</v>
      </c>
      <c r="AA67" s="71">
        <v>2795.4321416539842</v>
      </c>
      <c r="AB67" s="71">
        <v>2795.7575885664596</v>
      </c>
      <c r="AC67" s="71">
        <v>2796.1119654299564</v>
      </c>
      <c r="AD67" s="71">
        <v>2796.4952722444759</v>
      </c>
      <c r="AE67" s="71">
        <v>2796.9075090100168</v>
      </c>
      <c r="AF67" s="71">
        <v>2797.3486757265796</v>
      </c>
      <c r="AG67" s="71">
        <v>2797.8187723941646</v>
      </c>
      <c r="AH67" s="71">
        <v>2798.317799012771</v>
      </c>
      <c r="AI67" s="71">
        <v>2798.8457555823998</v>
      </c>
      <c r="AJ67" s="71">
        <v>2799.4026421030499</v>
      </c>
      <c r="AK67" s="71">
        <v>2799.9884585747227</v>
      </c>
      <c r="AL67" s="71">
        <v>2800.7060144763791</v>
      </c>
      <c r="AM67" s="71">
        <v>2801.6662166993692</v>
      </c>
      <c r="AN67" s="71">
        <v>2802.8691047162183</v>
      </c>
      <c r="AO67" s="71">
        <v>2804.3146785269264</v>
      </c>
      <c r="AP67" s="71">
        <v>2806.0029381314926</v>
      </c>
      <c r="AQ67" s="71">
        <v>2807.9338835299172</v>
      </c>
      <c r="AR67" s="71">
        <v>2810.1075147222004</v>
      </c>
      <c r="AS67" s="71">
        <v>2812.5238317083426</v>
      </c>
      <c r="AT67" s="71">
        <v>2815.1828344883434</v>
      </c>
      <c r="AU67" s="71">
        <v>2818.0845230622026</v>
      </c>
      <c r="AV67" s="71">
        <v>2821.2288974299208</v>
      </c>
      <c r="AW67" s="71">
        <v>2824.6159575914967</v>
      </c>
      <c r="AX67" s="71">
        <v>2828.245703546932</v>
      </c>
      <c r="AY67" s="71">
        <v>2832.1181352962258</v>
      </c>
      <c r="AZ67" s="71">
        <v>2836.2332528393777</v>
      </c>
      <c r="BA67" s="71">
        <v>2840.5910561763885</v>
      </c>
      <c r="BB67" s="71">
        <v>2845.1915453072584</v>
      </c>
      <c r="BC67" s="71">
        <v>2850.0347202319858</v>
      </c>
      <c r="BD67" s="71">
        <v>2855.1205809505727</v>
      </c>
      <c r="BE67" s="71">
        <v>2860.4491274630177</v>
      </c>
      <c r="BF67" s="71">
        <v>2866.0203597693217</v>
      </c>
      <c r="BG67" s="71">
        <v>2871.8342778694841</v>
      </c>
      <c r="BH67" s="71">
        <v>2877.8908817635047</v>
      </c>
      <c r="BI67" s="71">
        <v>2884.1901714513842</v>
      </c>
      <c r="BJ67" s="71">
        <v>2890.7321469331227</v>
      </c>
      <c r="BK67" s="71">
        <v>2897.5168082087189</v>
      </c>
      <c r="BL67" s="71">
        <v>2904.544155278174</v>
      </c>
      <c r="BM67" s="71">
        <v>2911.8141881414881</v>
      </c>
      <c r="BN67" s="71">
        <v>2919.3269067986607</v>
      </c>
      <c r="BO67" s="71">
        <v>2927.0823112496914</v>
      </c>
      <c r="BP67" s="71">
        <v>2935.0804014945811</v>
      </c>
      <c r="BQ67" s="71">
        <v>2943.3211775333293</v>
      </c>
      <c r="BR67" s="71">
        <v>2951.8046393659365</v>
      </c>
      <c r="BS67" s="71">
        <v>2960.5307869924018</v>
      </c>
      <c r="BT67" s="71">
        <v>2969.499620412726</v>
      </c>
      <c r="BU67" s="71">
        <v>2978.7111396269088</v>
      </c>
      <c r="BV67" s="71">
        <v>2988.1653446349501</v>
      </c>
      <c r="BW67" s="71">
        <v>2997.8622354368499</v>
      </c>
      <c r="BX67" s="71">
        <v>3007.8018120326078</v>
      </c>
      <c r="BY67" s="71">
        <v>3017.9840744222251</v>
      </c>
      <c r="BZ67" s="71">
        <v>3028.409022605701</v>
      </c>
      <c r="CA67" s="71">
        <v>3039.0766565830349</v>
      </c>
      <c r="CB67" s="71">
        <v>3049.9869763542274</v>
      </c>
      <c r="CC67" s="71">
        <v>3061.1399819192789</v>
      </c>
      <c r="CD67" s="71">
        <v>3072.5356732781888</v>
      </c>
      <c r="CE67" s="71">
        <v>3084.1740504309578</v>
      </c>
      <c r="CF67" s="71">
        <v>3096.0551133775848</v>
      </c>
      <c r="CG67" s="71">
        <v>3108.1788621180704</v>
      </c>
      <c r="CH67" s="71">
        <v>3120.5452966524149</v>
      </c>
      <c r="CI67" s="71">
        <v>3133.1544169806175</v>
      </c>
      <c r="CJ67" s="71">
        <v>3146.0062231026791</v>
      </c>
      <c r="CK67" s="71">
        <v>3159.1007150185992</v>
      </c>
      <c r="CL67" s="71">
        <v>3172.4378927283778</v>
      </c>
      <c r="CM67" s="71">
        <v>3186.0177562320155</v>
      </c>
      <c r="CN67" s="71">
        <v>3199.8403055295112</v>
      </c>
      <c r="CO67" s="71">
        <v>3213.9055406208658</v>
      </c>
      <c r="CP67" s="71">
        <v>3228.2134615060791</v>
      </c>
      <c r="CQ67" s="71">
        <v>3242.7640681851503</v>
      </c>
      <c r="CR67" s="71">
        <v>3257.5573606580801</v>
      </c>
      <c r="CS67" s="71">
        <v>3272.5933389248689</v>
      </c>
      <c r="CT67" s="71">
        <v>3287.8720029855172</v>
      </c>
      <c r="CU67" s="71">
        <v>3303.3933528400225</v>
      </c>
      <c r="CV67" s="71">
        <v>3319.1573884883874</v>
      </c>
      <c r="CW67" s="71">
        <v>3335.1641099306107</v>
      </c>
      <c r="CX67" s="71">
        <v>3351.4135171666926</v>
      </c>
      <c r="CY67" s="71">
        <v>3367.905610196633</v>
      </c>
      <c r="CZ67" s="71">
        <v>3384.6403890204319</v>
      </c>
      <c r="DA67" s="71">
        <v>3401.6178536380894</v>
      </c>
      <c r="DB67" s="71">
        <v>3418.8380040496058</v>
      </c>
      <c r="DC67" s="71">
        <v>3436.3008402549804</v>
      </c>
      <c r="DD67" s="71">
        <v>3454.0063622542134</v>
      </c>
      <c r="DE67" s="71">
        <v>3471.9545700473059</v>
      </c>
      <c r="DF67" s="71">
        <v>3490.1454636342564</v>
      </c>
      <c r="DG67" s="71">
        <v>3508.5790430150651</v>
      </c>
      <c r="DH67" s="71">
        <v>3527.2553081897331</v>
      </c>
      <c r="DI67" s="71">
        <v>3546.1742591582592</v>
      </c>
      <c r="DJ67" s="71">
        <v>3565.3358959206444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-83.526846014534726</v>
      </c>
      <c r="P68" s="71">
        <v>-83.526846014534726</v>
      </c>
      <c r="Q68" s="71">
        <v>-83.44044258373556</v>
      </c>
      <c r="R68" s="71">
        <v>-83.056054427455905</v>
      </c>
      <c r="S68" s="71">
        <v>-82.364027828563962</v>
      </c>
      <c r="T68" s="71">
        <v>-81.364362787059719</v>
      </c>
      <c r="U68" s="71">
        <v>-80.057059302943202</v>
      </c>
      <c r="V68" s="71">
        <v>-78.442117376214398</v>
      </c>
      <c r="W68" s="71">
        <v>-76.519537006873293</v>
      </c>
      <c r="X68" s="71">
        <v>-74.289318194919943</v>
      </c>
      <c r="Y68" s="71">
        <v>-71.751460940354264</v>
      </c>
      <c r="Z68" s="71">
        <v>-68.905965243176325</v>
      </c>
      <c r="AA68" s="71">
        <v>-65.752831103386086</v>
      </c>
      <c r="AB68" s="71">
        <v>-62.292058520983574</v>
      </c>
      <c r="AC68" s="71">
        <v>-58.523647495968774</v>
      </c>
      <c r="AD68" s="71">
        <v>-54.447598028341687</v>
      </c>
      <c r="AE68" s="71">
        <v>-50.063910118102314</v>
      </c>
      <c r="AF68" s="71">
        <v>-45.372583765250639</v>
      </c>
      <c r="AG68" s="71">
        <v>-40.373618969786705</v>
      </c>
      <c r="AH68" s="71">
        <v>-35.06701573171047</v>
      </c>
      <c r="AI68" s="71">
        <v>-29.452774051021951</v>
      </c>
      <c r="AJ68" s="71">
        <v>-23.530893927721156</v>
      </c>
      <c r="AK68" s="71">
        <v>-17.301375361808066</v>
      </c>
      <c r="AL68" s="71">
        <v>-10.457729054890397</v>
      </c>
      <c r="AM68" s="71">
        <v>-2.6693262005595635</v>
      </c>
      <c r="AN68" s="71">
        <v>6.063950874247892</v>
      </c>
      <c r="AO68" s="71">
        <v>15.742102169531966</v>
      </c>
      <c r="AP68" s="71">
        <v>26.365127685292656</v>
      </c>
      <c r="AQ68" s="71">
        <v>37.933027421529971</v>
      </c>
      <c r="AR68" s="71">
        <v>50.445801378243893</v>
      </c>
      <c r="AS68" s="71">
        <v>63.903449555434442</v>
      </c>
      <c r="AT68" s="71">
        <v>78.305971953101619</v>
      </c>
      <c r="AU68" s="71">
        <v>93.65336857124538</v>
      </c>
      <c r="AV68" s="71">
        <v>109.94563940986581</v>
      </c>
      <c r="AW68" s="71">
        <v>127.18278446896281</v>
      </c>
      <c r="AX68" s="71">
        <v>145.36480374853647</v>
      </c>
      <c r="AY68" s="71">
        <v>164.49169724858669</v>
      </c>
      <c r="AZ68" s="71">
        <v>184.56346496911351</v>
      </c>
      <c r="BA68" s="71">
        <v>205.58010691011705</v>
      </c>
      <c r="BB68" s="71">
        <v>227.54162307159729</v>
      </c>
      <c r="BC68" s="71">
        <v>250.44801345355393</v>
      </c>
      <c r="BD68" s="71">
        <v>274.2992780559872</v>
      </c>
      <c r="BE68" s="71">
        <v>299.09541687889725</v>
      </c>
      <c r="BF68" s="71">
        <v>324.83642992228391</v>
      </c>
      <c r="BG68" s="71">
        <v>351.52231718614706</v>
      </c>
      <c r="BH68" s="71">
        <v>379.15307867048671</v>
      </c>
      <c r="BI68" s="71">
        <v>407.7287143753033</v>
      </c>
      <c r="BJ68" s="71">
        <v>437.2492243005965</v>
      </c>
      <c r="BK68" s="71">
        <v>467.71460844636601</v>
      </c>
      <c r="BL68" s="71">
        <v>499.1248668126122</v>
      </c>
      <c r="BM68" s="71">
        <v>531.47999939933527</v>
      </c>
      <c r="BN68" s="71">
        <v>564.78000620653495</v>
      </c>
      <c r="BO68" s="71">
        <v>599.02488723421095</v>
      </c>
      <c r="BP68" s="71">
        <v>634.21464248236373</v>
      </c>
      <c r="BQ68" s="71">
        <v>670.34927195099317</v>
      </c>
      <c r="BR68" s="71">
        <v>707.42877564009927</v>
      </c>
      <c r="BS68" s="71">
        <v>745.45315354968182</v>
      </c>
      <c r="BT68" s="71">
        <v>784.4224056797409</v>
      </c>
      <c r="BU68" s="71">
        <v>824.33653203027689</v>
      </c>
      <c r="BV68" s="71">
        <v>865.19553260128953</v>
      </c>
      <c r="BW68" s="71">
        <v>906.99940739277849</v>
      </c>
      <c r="BX68" s="71">
        <v>949.74815640474401</v>
      </c>
      <c r="BY68" s="71">
        <v>993.44177963718653</v>
      </c>
      <c r="BZ68" s="71">
        <v>1038.0802770901055</v>
      </c>
      <c r="CA68" s="71">
        <v>1083.663648763501</v>
      </c>
      <c r="CB68" s="71">
        <v>1130.1918946573728</v>
      </c>
      <c r="CC68" s="71">
        <v>1177.6650147717221</v>
      </c>
      <c r="CD68" s="71">
        <v>1226.0830091065475</v>
      </c>
      <c r="CE68" s="71">
        <v>1275.4458776618494</v>
      </c>
      <c r="CF68" s="71">
        <v>1325.7536204376277</v>
      </c>
      <c r="CG68" s="71">
        <v>1377.0062374338838</v>
      </c>
      <c r="CH68" s="71">
        <v>1429.2037286506152</v>
      </c>
      <c r="CI68" s="71">
        <v>1482.3460940878238</v>
      </c>
      <c r="CJ68" s="71">
        <v>1536.4333337455087</v>
      </c>
      <c r="CK68" s="71">
        <v>1591.4654476236701</v>
      </c>
      <c r="CL68" s="71">
        <v>1647.442435722309</v>
      </c>
      <c r="CM68" s="71">
        <v>1704.364298041424</v>
      </c>
      <c r="CN68" s="71">
        <v>1762.2310345810156</v>
      </c>
      <c r="CO68" s="71">
        <v>1821.0426453410844</v>
      </c>
      <c r="CP68" s="71">
        <v>1880.7991303216288</v>
      </c>
      <c r="CQ68" s="71">
        <v>1941.50048952265</v>
      </c>
      <c r="CR68" s="71">
        <v>2003.1467229441478</v>
      </c>
      <c r="CS68" s="71">
        <v>2065.7378305861225</v>
      </c>
      <c r="CT68" s="71">
        <v>2129.2738124485745</v>
      </c>
      <c r="CU68" s="71">
        <v>2193.7546685315019</v>
      </c>
      <c r="CV68" s="71">
        <v>2259.1803988349066</v>
      </c>
      <c r="CW68" s="71">
        <v>2325.551003358788</v>
      </c>
      <c r="CX68" s="71">
        <v>2392.8664821031462</v>
      </c>
      <c r="CY68" s="71">
        <v>2461.1268350679802</v>
      </c>
      <c r="CZ68" s="71">
        <v>2530.3320622532906</v>
      </c>
      <c r="DA68" s="71">
        <v>2600.4821636590787</v>
      </c>
      <c r="DB68" s="71">
        <v>2671.577139285343</v>
      </c>
      <c r="DC68" s="71">
        <v>2743.6169891320842</v>
      </c>
      <c r="DD68" s="71">
        <v>2816.6017131993012</v>
      </c>
      <c r="DE68" s="71">
        <v>2890.5313114869959</v>
      </c>
      <c r="DF68" s="71">
        <v>2965.4057839951661</v>
      </c>
      <c r="DG68" s="71">
        <v>3041.2251307238139</v>
      </c>
      <c r="DH68" s="71">
        <v>3117.9893516729376</v>
      </c>
      <c r="DI68" s="71">
        <v>3195.6984468425376</v>
      </c>
      <c r="DJ68" s="71">
        <v>3274.3524162326157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2013.5972413350078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160.00854642505922</v>
      </c>
      <c r="K85" s="79">
        <v>2817.3832165699514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-726.96687991331669</v>
      </c>
      <c r="K86" s="79">
        <v>2793.7606945601951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2804731.7710205247</v>
      </c>
      <c r="J89" s="80">
        <v>5.608628632656832E-2</v>
      </c>
      <c r="K89" s="80">
        <v>1.4362373434405955E-7</v>
      </c>
      <c r="L89" s="3"/>
      <c r="N89" s="1" t="s">
        <v>320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2802808.824078206</v>
      </c>
      <c r="J90" s="80">
        <v>2.489282460595622E-2</v>
      </c>
      <c r="K90" s="80">
        <v>1.7121016991120994E-8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2793760.6945601953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300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301</v>
      </c>
      <c r="R112" s="134">
        <f>R111/2/(J113-J116)</f>
        <v>3.7271697605392544E-4</v>
      </c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-17.178644905223511</v>
      </c>
      <c r="L113" s="3"/>
      <c r="Q113" s="70" t="s">
        <v>302</v>
      </c>
      <c r="R113" s="1">
        <f>R111-2*R112*J113</f>
        <v>0.54190579434529718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2013.5972413350078</v>
      </c>
      <c r="K114" s="79">
        <v>3005.9452097340836</v>
      </c>
      <c r="L114" s="3"/>
      <c r="Q114" s="70" t="s">
        <v>303</v>
      </c>
      <c r="R114" s="1">
        <f>point1.Ms-R113*J113-R112*J113^2</f>
        <v>43.968214375354293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160.00854642505922</v>
      </c>
      <c r="K115" s="79">
        <v>89.97444408297963</v>
      </c>
      <c r="L115" s="3"/>
      <c r="Q115" s="1" t="s">
        <v>304</v>
      </c>
      <c r="R115" s="1">
        <f>R114+R113*J116+R112*J116^2</f>
        <v>-153.00556788571978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-726.96687991331669</v>
      </c>
      <c r="K116" s="79">
        <v>-83.526846014534726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18.422703625978507</v>
      </c>
      <c r="J119" s="80">
        <v>3.5770004146294958E-4</v>
      </c>
      <c r="K119" s="80">
        <v>5.5918544663293082E-10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12.690132416140695</v>
      </c>
      <c r="J120" s="80">
        <v>2.647080110228634E-4</v>
      </c>
      <c r="K120" s="80">
        <v>1.8206332250956679E-10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-83.526846014534726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85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1">
        <v>5109.9347062037868</v>
      </c>
      <c r="K133" s="1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1">
        <v>1420.1284185380368</v>
      </c>
      <c r="K136" s="93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11"/>
      <c r="E137" s="11"/>
      <c r="F137" s="11"/>
      <c r="G137" s="11"/>
      <c r="H137" s="11"/>
      <c r="I137" s="10" t="s">
        <v>400</v>
      </c>
      <c r="J137" s="141">
        <v>1.5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9795.0946871127362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1.58928054866597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327</v>
      </c>
      <c r="C148" s="8"/>
      <c r="D148" s="8"/>
      <c r="E148" s="8"/>
      <c r="F148" s="8"/>
      <c r="G148" s="8"/>
      <c r="H148" s="8"/>
      <c r="I148" s="81" t="s">
        <v>82</v>
      </c>
      <c r="J148" s="62">
        <v>-832.74705701669859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-603.67521324665006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6.1359701710929609E-2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29.999999999999996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2.0671067166228969E-2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0.21981423008071271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A.4.7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0.94725441426577939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12" priority="5" stopIfTrue="1" operator="between">
      <formula>0</formula>
      <formula>1</formula>
    </cfRule>
  </conditionalFormatting>
  <conditionalFormatting sqref="K94">
    <cfRule type="cellIs" dxfId="11" priority="2" stopIfTrue="1" operator="between">
      <formula>0</formula>
      <formula>1</formula>
    </cfRule>
  </conditionalFormatting>
  <conditionalFormatting sqref="K124">
    <cfRule type="cellIs" dxfId="1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2"/>
  <sheetViews>
    <sheetView showGridLines="0" zoomScaleNormal="100" workbookViewId="0">
      <pane ySplit="1" topLeftCell="A156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60°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-655.13190749195746</v>
      </c>
      <c r="P66" s="71">
        <v>-628.02519477230248</v>
      </c>
      <c r="Q66" s="71">
        <v>-600.91848205264773</v>
      </c>
      <c r="R66" s="71">
        <v>-573.81176933299287</v>
      </c>
      <c r="S66" s="71">
        <v>-546.705056613338</v>
      </c>
      <c r="T66" s="71">
        <v>-519.59834389368302</v>
      </c>
      <c r="U66" s="71">
        <v>-492.49163117402821</v>
      </c>
      <c r="V66" s="71">
        <v>-465.38491845437335</v>
      </c>
      <c r="W66" s="71">
        <v>-438.27820573471848</v>
      </c>
      <c r="X66" s="71">
        <v>-411.17149301506356</v>
      </c>
      <c r="Y66" s="71">
        <v>-384.06478029540875</v>
      </c>
      <c r="Z66" s="71">
        <v>-356.95806757575389</v>
      </c>
      <c r="AA66" s="71">
        <v>-329.85135485609902</v>
      </c>
      <c r="AB66" s="71">
        <v>-302.7446421364441</v>
      </c>
      <c r="AC66" s="71">
        <v>-275.63792941678929</v>
      </c>
      <c r="AD66" s="71">
        <v>-248.53121669713443</v>
      </c>
      <c r="AE66" s="71">
        <v>-221.42450397747953</v>
      </c>
      <c r="AF66" s="71">
        <v>-194.31779125782464</v>
      </c>
      <c r="AG66" s="71">
        <v>-167.2110785381698</v>
      </c>
      <c r="AH66" s="71">
        <v>-140.10436581851496</v>
      </c>
      <c r="AI66" s="71">
        <v>-112.99765309886006</v>
      </c>
      <c r="AJ66" s="71">
        <v>-85.890940379205162</v>
      </c>
      <c r="AK66" s="71">
        <v>-58.784227659550382</v>
      </c>
      <c r="AL66" s="71">
        <v>-31.677514939895481</v>
      </c>
      <c r="AM66" s="71">
        <v>-4.5708022202405845</v>
      </c>
      <c r="AN66" s="71">
        <v>22.535910499414314</v>
      </c>
      <c r="AO66" s="71">
        <v>49.642623219069208</v>
      </c>
      <c r="AP66" s="71">
        <v>76.749335938723988</v>
      </c>
      <c r="AQ66" s="71">
        <v>103.85604865837888</v>
      </c>
      <c r="AR66" s="71">
        <v>130.96276137803378</v>
      </c>
      <c r="AS66" s="71">
        <v>158.06947409768856</v>
      </c>
      <c r="AT66" s="71">
        <v>185.17618681734345</v>
      </c>
      <c r="AU66" s="71">
        <v>212.28289953699837</v>
      </c>
      <c r="AV66" s="71">
        <v>239.38961225665327</v>
      </c>
      <c r="AW66" s="71">
        <v>266.49632497630813</v>
      </c>
      <c r="AX66" s="71">
        <v>293.60303769596294</v>
      </c>
      <c r="AY66" s="71">
        <v>320.7097504156178</v>
      </c>
      <c r="AZ66" s="71">
        <v>347.81646313527273</v>
      </c>
      <c r="BA66" s="71">
        <v>374.92317585492754</v>
      </c>
      <c r="BB66" s="71">
        <v>402.0298885745824</v>
      </c>
      <c r="BC66" s="71">
        <v>429.13660129423732</v>
      </c>
      <c r="BD66" s="71">
        <v>456.24331401389219</v>
      </c>
      <c r="BE66" s="71">
        <v>483.35002673354711</v>
      </c>
      <c r="BF66" s="71">
        <v>510.45673945320198</v>
      </c>
      <c r="BG66" s="71">
        <v>537.56345217285661</v>
      </c>
      <c r="BH66" s="71">
        <v>564.67016489251159</v>
      </c>
      <c r="BI66" s="71">
        <v>591.77687761216646</v>
      </c>
      <c r="BJ66" s="71">
        <v>618.88359033182132</v>
      </c>
      <c r="BK66" s="71">
        <v>645.9903030514763</v>
      </c>
      <c r="BL66" s="71">
        <v>673.09701577113117</v>
      </c>
      <c r="BM66" s="71">
        <v>700.20372849078603</v>
      </c>
      <c r="BN66" s="71">
        <v>727.3104412104409</v>
      </c>
      <c r="BO66" s="71">
        <v>754.41715393009588</v>
      </c>
      <c r="BP66" s="71">
        <v>781.52386664975052</v>
      </c>
      <c r="BQ66" s="71">
        <v>808.63057936940538</v>
      </c>
      <c r="BR66" s="71">
        <v>835.73729208906025</v>
      </c>
      <c r="BS66" s="71">
        <v>862.84400480871523</v>
      </c>
      <c r="BT66" s="71">
        <v>889.95071752837009</v>
      </c>
      <c r="BU66" s="71">
        <v>917.05743024802496</v>
      </c>
      <c r="BV66" s="71">
        <v>944.16414296767994</v>
      </c>
      <c r="BW66" s="71">
        <v>971.27085568733457</v>
      </c>
      <c r="BX66" s="71">
        <v>998.37756840698944</v>
      </c>
      <c r="BY66" s="71">
        <v>1025.4842811266444</v>
      </c>
      <c r="BZ66" s="71">
        <v>1052.5909938462992</v>
      </c>
      <c r="CA66" s="71">
        <v>1079.6977065659541</v>
      </c>
      <c r="CB66" s="71">
        <v>1106.8044192856089</v>
      </c>
      <c r="CC66" s="71">
        <v>1133.9111320052641</v>
      </c>
      <c r="CD66" s="71">
        <v>1161.0178447249186</v>
      </c>
      <c r="CE66" s="71">
        <v>1188.1245574445738</v>
      </c>
      <c r="CF66" s="71">
        <v>1215.2312701642286</v>
      </c>
      <c r="CG66" s="71">
        <v>1242.3379828838831</v>
      </c>
      <c r="CH66" s="71">
        <v>1269.4446956035383</v>
      </c>
      <c r="CI66" s="71">
        <v>1296.5514083231931</v>
      </c>
      <c r="CJ66" s="71">
        <v>1323.6581210428481</v>
      </c>
      <c r="CK66" s="71">
        <v>1350.7648337625028</v>
      </c>
      <c r="CL66" s="71">
        <v>1377.8715464821578</v>
      </c>
      <c r="CM66" s="71">
        <v>1404.9782592018125</v>
      </c>
      <c r="CN66" s="71">
        <v>1432.0849719214673</v>
      </c>
      <c r="CO66" s="71">
        <v>1459.1916846411223</v>
      </c>
      <c r="CP66" s="71">
        <v>1486.2983973607775</v>
      </c>
      <c r="CQ66" s="71">
        <v>1513.4051100804322</v>
      </c>
      <c r="CR66" s="71">
        <v>1540.5118228000867</v>
      </c>
      <c r="CS66" s="71">
        <v>1567.618535519742</v>
      </c>
      <c r="CT66" s="71">
        <v>1594.7252482393967</v>
      </c>
      <c r="CU66" s="71">
        <v>1621.8319609590517</v>
      </c>
      <c r="CV66" s="71">
        <v>1648.9386736787064</v>
      </c>
      <c r="CW66" s="71">
        <v>1676.0453863983616</v>
      </c>
      <c r="CX66" s="71">
        <v>1703.1520991180162</v>
      </c>
      <c r="CY66" s="71">
        <v>1730.2588118376709</v>
      </c>
      <c r="CZ66" s="71">
        <v>1757.3655245573259</v>
      </c>
      <c r="DA66" s="71">
        <v>1784.4722372769806</v>
      </c>
      <c r="DB66" s="71">
        <v>1811.5789499966359</v>
      </c>
      <c r="DC66" s="71">
        <v>1838.6856627162904</v>
      </c>
      <c r="DD66" s="71">
        <v>1865.7923754359456</v>
      </c>
      <c r="DE66" s="71">
        <v>1892.8990881556003</v>
      </c>
      <c r="DF66" s="71">
        <v>1920.0058008752553</v>
      </c>
      <c r="DG66" s="71">
        <v>1947.1125135949101</v>
      </c>
      <c r="DH66" s="71">
        <v>1974.2192263145646</v>
      </c>
      <c r="DI66" s="71">
        <v>2001.3259390342198</v>
      </c>
      <c r="DJ66" s="71">
        <v>2028.4326517538746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2797.390526352724</v>
      </c>
      <c r="P67" s="71">
        <v>2797.390526352724</v>
      </c>
      <c r="Q67" s="71">
        <v>2797.3960417993321</v>
      </c>
      <c r="R67" s="71">
        <v>2797.4166826636006</v>
      </c>
      <c r="S67" s="71">
        <v>2797.4526231069299</v>
      </c>
      <c r="T67" s="71">
        <v>2797.5038631293191</v>
      </c>
      <c r="U67" s="71">
        <v>2797.5704027307693</v>
      </c>
      <c r="V67" s="71">
        <v>2797.6522419112803</v>
      </c>
      <c r="W67" s="71">
        <v>2797.7493806708517</v>
      </c>
      <c r="X67" s="71">
        <v>2797.861819009483</v>
      </c>
      <c r="Y67" s="71">
        <v>2797.9895569271753</v>
      </c>
      <c r="Z67" s="71">
        <v>2798.1325944239279</v>
      </c>
      <c r="AA67" s="71">
        <v>2798.290931499741</v>
      </c>
      <c r="AB67" s="71">
        <v>2798.4645681546149</v>
      </c>
      <c r="AC67" s="71">
        <v>2798.6535043885488</v>
      </c>
      <c r="AD67" s="71">
        <v>2798.8577402015439</v>
      </c>
      <c r="AE67" s="71">
        <v>2799.0772755935986</v>
      </c>
      <c r="AF67" s="71">
        <v>2799.3121105647147</v>
      </c>
      <c r="AG67" s="71">
        <v>2799.5622451148911</v>
      </c>
      <c r="AH67" s="71">
        <v>2799.8276792441279</v>
      </c>
      <c r="AI67" s="71">
        <v>2800.1243347827321</v>
      </c>
      <c r="AJ67" s="71">
        <v>2800.6146224660929</v>
      </c>
      <c r="AK67" s="71">
        <v>2801.3410138726595</v>
      </c>
      <c r="AL67" s="71">
        <v>2802.3035090024314</v>
      </c>
      <c r="AM67" s="71">
        <v>2803.5021078554091</v>
      </c>
      <c r="AN67" s="71">
        <v>2804.9368104315918</v>
      </c>
      <c r="AO67" s="71">
        <v>2806.6076167309807</v>
      </c>
      <c r="AP67" s="71">
        <v>2808.514526753575</v>
      </c>
      <c r="AQ67" s="71">
        <v>2810.6575404993746</v>
      </c>
      <c r="AR67" s="71">
        <v>2813.0366579683805</v>
      </c>
      <c r="AS67" s="71">
        <v>2815.6518791605918</v>
      </c>
      <c r="AT67" s="71">
        <v>2818.5032040760084</v>
      </c>
      <c r="AU67" s="71">
        <v>2821.5906327146304</v>
      </c>
      <c r="AV67" s="71">
        <v>2824.9141650764586</v>
      </c>
      <c r="AW67" s="71">
        <v>2828.4738011614922</v>
      </c>
      <c r="AX67" s="71">
        <v>2832.2695409697312</v>
      </c>
      <c r="AY67" s="71">
        <v>2836.301384501176</v>
      </c>
      <c r="AZ67" s="71">
        <v>2840.5693317558266</v>
      </c>
      <c r="BA67" s="71">
        <v>2845.0733827336826</v>
      </c>
      <c r="BB67" s="71">
        <v>2849.8135374347444</v>
      </c>
      <c r="BC67" s="71">
        <v>2854.7897958590115</v>
      </c>
      <c r="BD67" s="71">
        <v>2860.0021580064836</v>
      </c>
      <c r="BE67" s="71">
        <v>2865.4506238771619</v>
      </c>
      <c r="BF67" s="71">
        <v>2871.135193471046</v>
      </c>
      <c r="BG67" s="71">
        <v>2877.055866788136</v>
      </c>
      <c r="BH67" s="71">
        <v>2883.2126438284308</v>
      </c>
      <c r="BI67" s="71">
        <v>2889.6055245919315</v>
      </c>
      <c r="BJ67" s="71">
        <v>2896.234509078638</v>
      </c>
      <c r="BK67" s="71">
        <v>2903.0995972885498</v>
      </c>
      <c r="BL67" s="71">
        <v>2910.2007892216675</v>
      </c>
      <c r="BM67" s="71">
        <v>2917.5380848779905</v>
      </c>
      <c r="BN67" s="71">
        <v>2925.1114842575194</v>
      </c>
      <c r="BO67" s="71">
        <v>2932.920987360254</v>
      </c>
      <c r="BP67" s="71">
        <v>2940.9665941861936</v>
      </c>
      <c r="BQ67" s="71">
        <v>2949.2483047353394</v>
      </c>
      <c r="BR67" s="71">
        <v>2957.7661190076901</v>
      </c>
      <c r="BS67" s="71">
        <v>2966.5200370032471</v>
      </c>
      <c r="BT67" s="71">
        <v>2975.5100587220095</v>
      </c>
      <c r="BU67" s="71">
        <v>2984.7361841639772</v>
      </c>
      <c r="BV67" s="71">
        <v>2994.1984133291512</v>
      </c>
      <c r="BW67" s="71">
        <v>3003.8967462175301</v>
      </c>
      <c r="BX67" s="71">
        <v>3013.8311828291148</v>
      </c>
      <c r="BY67" s="71">
        <v>3024.0017231639049</v>
      </c>
      <c r="BZ67" s="71">
        <v>3034.4083672219012</v>
      </c>
      <c r="CA67" s="71">
        <v>3045.051115003103</v>
      </c>
      <c r="CB67" s="71">
        <v>3055.92996650751</v>
      </c>
      <c r="CC67" s="71">
        <v>3067.0449217351229</v>
      </c>
      <c r="CD67" s="71">
        <v>3078.3959806859411</v>
      </c>
      <c r="CE67" s="71">
        <v>3089.9831433599652</v>
      </c>
      <c r="CF67" s="71">
        <v>3101.8064097571946</v>
      </c>
      <c r="CG67" s="71">
        <v>3113.8657798776294</v>
      </c>
      <c r="CH67" s="71">
        <v>3126.1612537212704</v>
      </c>
      <c r="CI67" s="71">
        <v>3138.6928312881164</v>
      </c>
      <c r="CJ67" s="71">
        <v>3151.4605125781691</v>
      </c>
      <c r="CK67" s="71">
        <v>3164.4642975914257</v>
      </c>
      <c r="CL67" s="71">
        <v>3177.7041863278896</v>
      </c>
      <c r="CM67" s="71">
        <v>3191.1801787875579</v>
      </c>
      <c r="CN67" s="71">
        <v>3204.8922749704325</v>
      </c>
      <c r="CO67" s="71">
        <v>3218.8404748765124</v>
      </c>
      <c r="CP67" s="71">
        <v>3233.0247785057982</v>
      </c>
      <c r="CQ67" s="71">
        <v>3247.4451858582893</v>
      </c>
      <c r="CR67" s="71">
        <v>3262.1016969339857</v>
      </c>
      <c r="CS67" s="71">
        <v>3276.994311732888</v>
      </c>
      <c r="CT67" s="71">
        <v>3292.1230302549961</v>
      </c>
      <c r="CU67" s="71">
        <v>3307.4878525003096</v>
      </c>
      <c r="CV67" s="71">
        <v>3323.0887784688284</v>
      </c>
      <c r="CW67" s="71">
        <v>3338.9258081605535</v>
      </c>
      <c r="CX67" s="71">
        <v>3354.998941575484</v>
      </c>
      <c r="CY67" s="71">
        <v>3371.3081787136198</v>
      </c>
      <c r="CZ67" s="71">
        <v>3387.8535195749614</v>
      </c>
      <c r="DA67" s="71">
        <v>3404.6349641595084</v>
      </c>
      <c r="DB67" s="71">
        <v>3421.6525124672612</v>
      </c>
      <c r="DC67" s="71">
        <v>3438.9061644982194</v>
      </c>
      <c r="DD67" s="71">
        <v>3456.3959202523838</v>
      </c>
      <c r="DE67" s="71">
        <v>3474.1217797297531</v>
      </c>
      <c r="DF67" s="71">
        <v>3492.0837429303283</v>
      </c>
      <c r="DG67" s="71">
        <v>3510.2818098541088</v>
      </c>
      <c r="DH67" s="71">
        <v>3528.7159805010951</v>
      </c>
      <c r="DI67" s="71">
        <v>3547.3862548712873</v>
      </c>
      <c r="DJ67" s="71">
        <v>3566.2926329646848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-74.953406561099612</v>
      </c>
      <c r="P68" s="71">
        <v>-74.953406561099612</v>
      </c>
      <c r="Q68" s="71">
        <v>-74.840176273000012</v>
      </c>
      <c r="R68" s="71">
        <v>-74.416426180943304</v>
      </c>
      <c r="S68" s="71">
        <v>-73.678580809205343</v>
      </c>
      <c r="T68" s="71">
        <v>-72.626640157786127</v>
      </c>
      <c r="U68" s="71">
        <v>-71.260604226685658</v>
      </c>
      <c r="V68" s="71">
        <v>-69.580473015903905</v>
      </c>
      <c r="W68" s="71">
        <v>-67.586246525440899</v>
      </c>
      <c r="X68" s="71">
        <v>-65.277924755296624</v>
      </c>
      <c r="Y68" s="71">
        <v>-62.655507705471088</v>
      </c>
      <c r="Z68" s="71">
        <v>-59.718995375964305</v>
      </c>
      <c r="AA68" s="71">
        <v>-56.468387766776253</v>
      </c>
      <c r="AB68" s="71">
        <v>-52.903684877906933</v>
      </c>
      <c r="AC68" s="71">
        <v>-49.024886709356366</v>
      </c>
      <c r="AD68" s="71">
        <v>-44.831993261124538</v>
      </c>
      <c r="AE68" s="71">
        <v>-40.325004533211434</v>
      </c>
      <c r="AF68" s="71">
        <v>-35.503920525617076</v>
      </c>
      <c r="AG68" s="71">
        <v>-30.368741238341464</v>
      </c>
      <c r="AH68" s="71">
        <v>-24.91946667138459</v>
      </c>
      <c r="AI68" s="71">
        <v>-19.112460271660325</v>
      </c>
      <c r="AJ68" s="71">
        <v>-12.502607090720394</v>
      </c>
      <c r="AK68" s="71">
        <v>-4.9735063598167475</v>
      </c>
      <c r="AL68" s="71">
        <v>3.4748419210506842</v>
      </c>
      <c r="AM68" s="71">
        <v>12.842437751881878</v>
      </c>
      <c r="AN68" s="71">
        <v>23.12928113267683</v>
      </c>
      <c r="AO68" s="71">
        <v>34.335372063435535</v>
      </c>
      <c r="AP68" s="71">
        <v>46.460710544157941</v>
      </c>
      <c r="AQ68" s="71">
        <v>59.505296574844159</v>
      </c>
      <c r="AR68" s="71">
        <v>73.469130155494128</v>
      </c>
      <c r="AS68" s="71">
        <v>88.352211286107803</v>
      </c>
      <c r="AT68" s="71">
        <v>104.15453996668529</v>
      </c>
      <c r="AU68" s="71">
        <v>120.87611619722654</v>
      </c>
      <c r="AV68" s="71">
        <v>138.51693997773154</v>
      </c>
      <c r="AW68" s="71">
        <v>157.07701130820027</v>
      </c>
      <c r="AX68" s="71">
        <v>176.5563301886327</v>
      </c>
      <c r="AY68" s="71">
        <v>196.95489661902897</v>
      </c>
      <c r="AZ68" s="71">
        <v>218.27271059938897</v>
      </c>
      <c r="BA68" s="71">
        <v>240.50977212971267</v>
      </c>
      <c r="BB68" s="71">
        <v>263.66608121000024</v>
      </c>
      <c r="BC68" s="71">
        <v>287.74163784025149</v>
      </c>
      <c r="BD68" s="71">
        <v>312.7364420204666</v>
      </c>
      <c r="BE68" s="71">
        <v>338.65049375064535</v>
      </c>
      <c r="BF68" s="71">
        <v>365.48379303078792</v>
      </c>
      <c r="BG68" s="71">
        <v>393.23633986089402</v>
      </c>
      <c r="BH68" s="71">
        <v>421.9081342409641</v>
      </c>
      <c r="BI68" s="71">
        <v>451.49917617099794</v>
      </c>
      <c r="BJ68" s="71">
        <v>482.00946565099548</v>
      </c>
      <c r="BK68" s="71">
        <v>513.43900268095672</v>
      </c>
      <c r="BL68" s="71">
        <v>545.78778726088183</v>
      </c>
      <c r="BM68" s="71">
        <v>579.05581939077069</v>
      </c>
      <c r="BN68" s="71">
        <v>613.24309907062332</v>
      </c>
      <c r="BO68" s="71">
        <v>648.3496263004397</v>
      </c>
      <c r="BP68" s="71">
        <v>684.3754010802196</v>
      </c>
      <c r="BQ68" s="71">
        <v>721.32042340996327</v>
      </c>
      <c r="BR68" s="71">
        <v>759.18469328967092</v>
      </c>
      <c r="BS68" s="71">
        <v>797.96821071934244</v>
      </c>
      <c r="BT68" s="71">
        <v>837.6709756989776</v>
      </c>
      <c r="BU68" s="71">
        <v>878.29298822857652</v>
      </c>
      <c r="BV68" s="71">
        <v>919.83424830813897</v>
      </c>
      <c r="BW68" s="71">
        <v>962.29475593766529</v>
      </c>
      <c r="BX68" s="71">
        <v>1005.6745111171552</v>
      </c>
      <c r="BY68" s="71">
        <v>1049.9735138466092</v>
      </c>
      <c r="BZ68" s="71">
        <v>1095.1917641260268</v>
      </c>
      <c r="CA68" s="71">
        <v>1141.3292619554086</v>
      </c>
      <c r="CB68" s="71">
        <v>1188.3860073347532</v>
      </c>
      <c r="CC68" s="71">
        <v>1236.3620002640628</v>
      </c>
      <c r="CD68" s="71">
        <v>1285.2572407433352</v>
      </c>
      <c r="CE68" s="71">
        <v>1335.0717287725718</v>
      </c>
      <c r="CF68" s="71">
        <v>1385.8054643517717</v>
      </c>
      <c r="CG68" s="71">
        <v>1437.4584474809353</v>
      </c>
      <c r="CH68" s="71">
        <v>1490.0306781600634</v>
      </c>
      <c r="CI68" s="71">
        <v>1543.5221563891544</v>
      </c>
      <c r="CJ68" s="71">
        <v>1597.9328821682102</v>
      </c>
      <c r="CK68" s="71">
        <v>1653.2628554972287</v>
      </c>
      <c r="CL68" s="71">
        <v>1709.5120763762118</v>
      </c>
      <c r="CM68" s="71">
        <v>1766.6805448051578</v>
      </c>
      <c r="CN68" s="71">
        <v>1824.7682607840675</v>
      </c>
      <c r="CO68" s="71">
        <v>1883.7752243129423</v>
      </c>
      <c r="CP68" s="71">
        <v>1943.7014353917805</v>
      </c>
      <c r="CQ68" s="71">
        <v>2004.5468940205817</v>
      </c>
      <c r="CR68" s="71">
        <v>2066.3116001993467</v>
      </c>
      <c r="CS68" s="71">
        <v>2128.9955539280759</v>
      </c>
      <c r="CT68" s="71">
        <v>2192.5987552067681</v>
      </c>
      <c r="CU68" s="71">
        <v>2257.1212040354253</v>
      </c>
      <c r="CV68" s="71">
        <v>2322.5629004140451</v>
      </c>
      <c r="CW68" s="71">
        <v>2388.9238443426298</v>
      </c>
      <c r="CX68" s="71">
        <v>2456.2040358211771</v>
      </c>
      <c r="CY68" s="71">
        <v>2524.4034748496879</v>
      </c>
      <c r="CZ68" s="71">
        <v>2593.5221614281641</v>
      </c>
      <c r="DA68" s="71">
        <v>2663.5600955566024</v>
      </c>
      <c r="DB68" s="71">
        <v>2734.5172772350056</v>
      </c>
      <c r="DC68" s="71">
        <v>2806.3937064633719</v>
      </c>
      <c r="DD68" s="71">
        <v>2879.1893832417031</v>
      </c>
      <c r="DE68" s="71">
        <v>2952.9043075699965</v>
      </c>
      <c r="DF68" s="71">
        <v>3027.5384794482552</v>
      </c>
      <c r="DG68" s="71">
        <v>3103.0918988764761</v>
      </c>
      <c r="DH68" s="71">
        <v>3179.5645658546609</v>
      </c>
      <c r="DI68" s="71">
        <v>3256.9564803828102</v>
      </c>
      <c r="DJ68" s="71">
        <v>3335.2676424609226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1931.8406207179755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128.55478642304368</v>
      </c>
      <c r="K85" s="79">
        <v>2812.8157581112923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-623.93514999234037</v>
      </c>
      <c r="K86" s="79">
        <v>2797.390526352724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2803727.4814514997</v>
      </c>
      <c r="J89" s="80">
        <v>5.0041594254042296E-2</v>
      </c>
      <c r="K89" s="80">
        <v>1.6066420664263661E-7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2801443.5084535223</v>
      </c>
      <c r="J90" s="80">
        <v>1.2991677423039484E-2</v>
      </c>
      <c r="K90" s="80">
        <v>1.0411079920083822E-8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2797390.5263527241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-21.381778752225046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1931.8406207179755</v>
      </c>
      <c r="K114" s="79">
        <v>3060.4121248734232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128.55478642304368</v>
      </c>
      <c r="K115" s="79">
        <v>72.191475899851412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-623.93514999234037</v>
      </c>
      <c r="K116" s="79">
        <v>-74.953406561099612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14.512597028565134</v>
      </c>
      <c r="J119" s="80">
        <v>3.6825658455364357E-4</v>
      </c>
      <c r="K119" s="80">
        <v>6.2553091631894812E-10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8.2529706508917311</v>
      </c>
      <c r="J120" s="80">
        <v>2.6671482513210807E-4</v>
      </c>
      <c r="K120" s="80">
        <v>2.1373601498119026E-10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-74.953406561099612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4602.1166054689265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1.2768669303282547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-729.71532709572216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-500.64348332567369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5.0887189214165685E-2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59.999999999999993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1.0424478632745482E-2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0.21401108610466293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B.4.7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1.27010920903012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9" priority="3" stopIfTrue="1" operator="between">
      <formula>0</formula>
      <formula>1</formula>
    </cfRule>
  </conditionalFormatting>
  <conditionalFormatting sqref="K94">
    <cfRule type="cellIs" dxfId="8" priority="2" stopIfTrue="1" operator="between">
      <formula>0</formula>
      <formula>1</formula>
    </cfRule>
  </conditionalFormatting>
  <conditionalFormatting sqref="K124">
    <cfRule type="cellIs" dxfId="7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2"/>
  <sheetViews>
    <sheetView showGridLines="0" zoomScaleNormal="100" workbookViewId="0">
      <pane ySplit="1" topLeftCell="A153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90°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-737.93723699379791</v>
      </c>
      <c r="P66" s="71">
        <v>-712.39905326965595</v>
      </c>
      <c r="Q66" s="71">
        <v>-686.86086954551399</v>
      </c>
      <c r="R66" s="71">
        <v>-661.32268582137192</v>
      </c>
      <c r="S66" s="71">
        <v>-635.78450209722996</v>
      </c>
      <c r="T66" s="71">
        <v>-610.24631837308789</v>
      </c>
      <c r="U66" s="71">
        <v>-584.70813464894604</v>
      </c>
      <c r="V66" s="71">
        <v>-559.16995092480397</v>
      </c>
      <c r="W66" s="71">
        <v>-533.6317672006619</v>
      </c>
      <c r="X66" s="71">
        <v>-508.09358347652</v>
      </c>
      <c r="Y66" s="71">
        <v>-482.55539975237798</v>
      </c>
      <c r="Z66" s="71">
        <v>-457.01721602823596</v>
      </c>
      <c r="AA66" s="71">
        <v>-431.47903230409401</v>
      </c>
      <c r="AB66" s="71">
        <v>-405.94084857995199</v>
      </c>
      <c r="AC66" s="71">
        <v>-380.40266485580997</v>
      </c>
      <c r="AD66" s="71">
        <v>-354.86448113166796</v>
      </c>
      <c r="AE66" s="71">
        <v>-329.326297407526</v>
      </c>
      <c r="AF66" s="71">
        <v>-303.78811368338404</v>
      </c>
      <c r="AG66" s="71">
        <v>-278.24992995924202</v>
      </c>
      <c r="AH66" s="71">
        <v>-252.71174623510004</v>
      </c>
      <c r="AI66" s="71">
        <v>-227.17356251095799</v>
      </c>
      <c r="AJ66" s="71">
        <v>-201.63537878681603</v>
      </c>
      <c r="AK66" s="71">
        <v>-176.09719506267399</v>
      </c>
      <c r="AL66" s="71">
        <v>-150.55901133853197</v>
      </c>
      <c r="AM66" s="71">
        <v>-125.02082761439006</v>
      </c>
      <c r="AN66" s="71">
        <v>-99.482643890248028</v>
      </c>
      <c r="AO66" s="71">
        <v>-73.944460166105998</v>
      </c>
      <c r="AP66" s="71">
        <v>-48.406276441964089</v>
      </c>
      <c r="AQ66" s="71">
        <v>-22.868092717822059</v>
      </c>
      <c r="AR66" s="71">
        <v>2.6700910063199701</v>
      </c>
      <c r="AS66" s="71">
        <v>28.208274730461998</v>
      </c>
      <c r="AT66" s="71">
        <v>53.746458454603911</v>
      </c>
      <c r="AU66" s="71">
        <v>79.284642178745941</v>
      </c>
      <c r="AV66" s="71">
        <v>104.82282590288797</v>
      </c>
      <c r="AW66" s="71">
        <v>130.36100962702989</v>
      </c>
      <c r="AX66" s="71">
        <v>155.8991933511719</v>
      </c>
      <c r="AY66" s="71">
        <v>181.43737707531395</v>
      </c>
      <c r="AZ66" s="71">
        <v>206.97556079945596</v>
      </c>
      <c r="BA66" s="71">
        <v>232.51374452359789</v>
      </c>
      <c r="BB66" s="71">
        <v>258.05192824773991</v>
      </c>
      <c r="BC66" s="71">
        <v>283.59011197188192</v>
      </c>
      <c r="BD66" s="71">
        <v>309.12829569602383</v>
      </c>
      <c r="BE66" s="71">
        <v>334.6664794201659</v>
      </c>
      <c r="BF66" s="71">
        <v>360.2046631443078</v>
      </c>
      <c r="BG66" s="71">
        <v>385.74284686844993</v>
      </c>
      <c r="BH66" s="71">
        <v>411.28103059259183</v>
      </c>
      <c r="BI66" s="71">
        <v>436.81921431673402</v>
      </c>
      <c r="BJ66" s="71">
        <v>462.35739804087592</v>
      </c>
      <c r="BK66" s="71">
        <v>487.89558176501782</v>
      </c>
      <c r="BL66" s="71">
        <v>513.43376548916001</v>
      </c>
      <c r="BM66" s="71">
        <v>538.97194921330185</v>
      </c>
      <c r="BN66" s="71">
        <v>564.51013293744381</v>
      </c>
      <c r="BO66" s="71">
        <v>590.04831666158589</v>
      </c>
      <c r="BP66" s="71">
        <v>615.58650038572785</v>
      </c>
      <c r="BQ66" s="71">
        <v>641.1246841098698</v>
      </c>
      <c r="BR66" s="71">
        <v>666.66286783401188</v>
      </c>
      <c r="BS66" s="71">
        <v>692.20105155815384</v>
      </c>
      <c r="BT66" s="71">
        <v>717.73923528229568</v>
      </c>
      <c r="BU66" s="71">
        <v>743.27741900643787</v>
      </c>
      <c r="BV66" s="71">
        <v>768.81560273057983</v>
      </c>
      <c r="BW66" s="71">
        <v>794.3537864547219</v>
      </c>
      <c r="BX66" s="71">
        <v>819.89197017886386</v>
      </c>
      <c r="BY66" s="71">
        <v>845.43015390300582</v>
      </c>
      <c r="BZ66" s="71">
        <v>870.96833762714789</v>
      </c>
      <c r="CA66" s="71">
        <v>896.50652135128985</v>
      </c>
      <c r="CB66" s="71">
        <v>922.04470507543169</v>
      </c>
      <c r="CC66" s="71">
        <v>947.58288879957388</v>
      </c>
      <c r="CD66" s="71">
        <v>973.12107252371584</v>
      </c>
      <c r="CE66" s="71">
        <v>998.65925624785768</v>
      </c>
      <c r="CF66" s="71">
        <v>1024.1974399719998</v>
      </c>
      <c r="CG66" s="71">
        <v>1049.7356236961418</v>
      </c>
      <c r="CH66" s="71">
        <v>1075.2738074202841</v>
      </c>
      <c r="CI66" s="71">
        <v>1100.8119911444257</v>
      </c>
      <c r="CJ66" s="71">
        <v>1126.3501748685678</v>
      </c>
      <c r="CK66" s="71">
        <v>1151.8883585927099</v>
      </c>
      <c r="CL66" s="71">
        <v>1177.4265423168517</v>
      </c>
      <c r="CM66" s="71">
        <v>1202.9647260409938</v>
      </c>
      <c r="CN66" s="71">
        <v>1228.5029097651359</v>
      </c>
      <c r="CO66" s="71">
        <v>1254.0410934892777</v>
      </c>
      <c r="CP66" s="71">
        <v>1279.5792772134198</v>
      </c>
      <c r="CQ66" s="71">
        <v>1305.1174609375619</v>
      </c>
      <c r="CR66" s="71">
        <v>1330.6556446617037</v>
      </c>
      <c r="CS66" s="71">
        <v>1356.1938283858458</v>
      </c>
      <c r="CT66" s="71">
        <v>1381.7320121099874</v>
      </c>
      <c r="CU66" s="71">
        <v>1407.2701958341295</v>
      </c>
      <c r="CV66" s="71">
        <v>1432.8083795582718</v>
      </c>
      <c r="CW66" s="71">
        <v>1458.3465632824134</v>
      </c>
      <c r="CX66" s="71">
        <v>1483.8847470065555</v>
      </c>
      <c r="CY66" s="71">
        <v>1509.4229307306978</v>
      </c>
      <c r="CZ66" s="71">
        <v>1534.9611144548394</v>
      </c>
      <c r="DA66" s="71">
        <v>1560.4992981789815</v>
      </c>
      <c r="DB66" s="71">
        <v>1586.0374819031238</v>
      </c>
      <c r="DC66" s="71">
        <v>1611.5756656272658</v>
      </c>
      <c r="DD66" s="71">
        <v>1637.1138493514075</v>
      </c>
      <c r="DE66" s="71">
        <v>1662.6520330755498</v>
      </c>
      <c r="DF66" s="71">
        <v>1688.1902167996918</v>
      </c>
      <c r="DG66" s="71">
        <v>1713.7284005238334</v>
      </c>
      <c r="DH66" s="71">
        <v>1739.2665842479755</v>
      </c>
      <c r="DI66" s="71">
        <v>1764.8047679721178</v>
      </c>
      <c r="DJ66" s="71">
        <v>1790.3429516962597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2797.3197131913444</v>
      </c>
      <c r="P67" s="71">
        <v>2797.3197131913444</v>
      </c>
      <c r="Q67" s="71">
        <v>2797.3217401817024</v>
      </c>
      <c r="R67" s="71">
        <v>2797.3334419726611</v>
      </c>
      <c r="S67" s="71">
        <v>2797.355554365814</v>
      </c>
      <c r="T67" s="71">
        <v>2797.3880773611613</v>
      </c>
      <c r="U67" s="71">
        <v>2797.4310109587022</v>
      </c>
      <c r="V67" s="71">
        <v>2797.4843551584372</v>
      </c>
      <c r="W67" s="71">
        <v>2797.5481099603662</v>
      </c>
      <c r="X67" s="71">
        <v>2797.6222753644888</v>
      </c>
      <c r="Y67" s="71">
        <v>2797.7068513708055</v>
      </c>
      <c r="Z67" s="71">
        <v>2797.8018379793161</v>
      </c>
      <c r="AA67" s="71">
        <v>2797.9072351900209</v>
      </c>
      <c r="AB67" s="71">
        <v>2798.0230430029192</v>
      </c>
      <c r="AC67" s="71">
        <v>2798.149261418012</v>
      </c>
      <c r="AD67" s="71">
        <v>2798.2858904352979</v>
      </c>
      <c r="AE67" s="71">
        <v>2798.4329300547788</v>
      </c>
      <c r="AF67" s="71">
        <v>2798.5903802764528</v>
      </c>
      <c r="AG67" s="71">
        <v>2798.7582411003209</v>
      </c>
      <c r="AH67" s="71">
        <v>2798.9365125263835</v>
      </c>
      <c r="AI67" s="71">
        <v>2799.1251945546396</v>
      </c>
      <c r="AJ67" s="71">
        <v>2799.3242871850898</v>
      </c>
      <c r="AK67" s="71">
        <v>2799.5337904177336</v>
      </c>
      <c r="AL67" s="71">
        <v>2799.7537042525719</v>
      </c>
      <c r="AM67" s="71">
        <v>2799.9840286896037</v>
      </c>
      <c r="AN67" s="71">
        <v>2800.3360708152713</v>
      </c>
      <c r="AO67" s="71">
        <v>2800.9540600960077</v>
      </c>
      <c r="AP67" s="71">
        <v>2801.8385836296916</v>
      </c>
      <c r="AQ67" s="71">
        <v>2802.9896414163227</v>
      </c>
      <c r="AR67" s="71">
        <v>2804.4072334559019</v>
      </c>
      <c r="AS67" s="71">
        <v>2806.0913597484287</v>
      </c>
      <c r="AT67" s="71">
        <v>2808.0420202939031</v>
      </c>
      <c r="AU67" s="71">
        <v>2810.2592150923247</v>
      </c>
      <c r="AV67" s="71">
        <v>2812.7429441436943</v>
      </c>
      <c r="AW67" s="71">
        <v>2815.4932074480112</v>
      </c>
      <c r="AX67" s="71">
        <v>2818.5100050052756</v>
      </c>
      <c r="AY67" s="71">
        <v>2821.7933368154881</v>
      </c>
      <c r="AZ67" s="71">
        <v>2825.3432028786478</v>
      </c>
      <c r="BA67" s="71">
        <v>2829.1596031947556</v>
      </c>
      <c r="BB67" s="71">
        <v>2833.2425377638106</v>
      </c>
      <c r="BC67" s="71">
        <v>2837.5920065858131</v>
      </c>
      <c r="BD67" s="71">
        <v>2842.2080096607633</v>
      </c>
      <c r="BE67" s="71">
        <v>2847.0905469886611</v>
      </c>
      <c r="BF67" s="71">
        <v>2852.239618569507</v>
      </c>
      <c r="BG67" s="71">
        <v>2857.6552244032996</v>
      </c>
      <c r="BH67" s="71">
        <v>2863.3373644900403</v>
      </c>
      <c r="BI67" s="71">
        <v>2869.2860388297286</v>
      </c>
      <c r="BJ67" s="71">
        <v>2875.501247422364</v>
      </c>
      <c r="BK67" s="71">
        <v>2881.9829902679476</v>
      </c>
      <c r="BL67" s="71">
        <v>2888.7312673664787</v>
      </c>
      <c r="BM67" s="71">
        <v>2895.7460787179571</v>
      </c>
      <c r="BN67" s="71">
        <v>2903.0274243223835</v>
      </c>
      <c r="BO67" s="71">
        <v>2910.5753041797575</v>
      </c>
      <c r="BP67" s="71">
        <v>2918.3897182900791</v>
      </c>
      <c r="BQ67" s="71">
        <v>2926.4706666533475</v>
      </c>
      <c r="BR67" s="71">
        <v>2934.8181492695639</v>
      </c>
      <c r="BS67" s="71">
        <v>2943.4321661387285</v>
      </c>
      <c r="BT67" s="71">
        <v>2952.3127172608401</v>
      </c>
      <c r="BU67" s="71">
        <v>2961.4598026358999</v>
      </c>
      <c r="BV67" s="71">
        <v>2970.8734222639068</v>
      </c>
      <c r="BW67" s="71">
        <v>2980.5535761448609</v>
      </c>
      <c r="BX67" s="71">
        <v>2990.5002642787636</v>
      </c>
      <c r="BY67" s="71">
        <v>3000.7134866656129</v>
      </c>
      <c r="BZ67" s="71">
        <v>3011.1932433054108</v>
      </c>
      <c r="CA67" s="71">
        <v>3021.9395341981558</v>
      </c>
      <c r="CB67" s="71">
        <v>3032.952359343848</v>
      </c>
      <c r="CC67" s="71">
        <v>3044.2317187424883</v>
      </c>
      <c r="CD67" s="71">
        <v>3055.7776123940757</v>
      </c>
      <c r="CE67" s="71">
        <v>3067.5900402986113</v>
      </c>
      <c r="CF67" s="71">
        <v>3079.6690024560944</v>
      </c>
      <c r="CG67" s="71">
        <v>3092.0144988665252</v>
      </c>
      <c r="CH67" s="71">
        <v>3104.6265295299031</v>
      </c>
      <c r="CI67" s="71">
        <v>3117.5050944462287</v>
      </c>
      <c r="CJ67" s="71">
        <v>3130.6501936155023</v>
      </c>
      <c r="CK67" s="71">
        <v>3144.0618270377231</v>
      </c>
      <c r="CL67" s="71">
        <v>3157.7399947128915</v>
      </c>
      <c r="CM67" s="71">
        <v>3171.684696641008</v>
      </c>
      <c r="CN67" s="71">
        <v>3185.8959328220717</v>
      </c>
      <c r="CO67" s="71">
        <v>3200.3737032560825</v>
      </c>
      <c r="CP67" s="71">
        <v>3215.1180079430414</v>
      </c>
      <c r="CQ67" s="71">
        <v>3230.1288468829484</v>
      </c>
      <c r="CR67" s="71">
        <v>3245.4062200758026</v>
      </c>
      <c r="CS67" s="71">
        <v>3260.9501275216044</v>
      </c>
      <c r="CT67" s="71">
        <v>3276.7605692203533</v>
      </c>
      <c r="CU67" s="71">
        <v>3292.8375451720508</v>
      </c>
      <c r="CV67" s="71">
        <v>3309.181055376695</v>
      </c>
      <c r="CW67" s="71">
        <v>3325.7910998342873</v>
      </c>
      <c r="CX67" s="71">
        <v>3342.6676785448267</v>
      </c>
      <c r="CY67" s="71">
        <v>3359.8107915083142</v>
      </c>
      <c r="CZ67" s="71">
        <v>3377.2204387247489</v>
      </c>
      <c r="DA67" s="71">
        <v>3394.8966201941316</v>
      </c>
      <c r="DB67" s="71">
        <v>3412.8393359164616</v>
      </c>
      <c r="DC67" s="71">
        <v>3431.0485858917395</v>
      </c>
      <c r="DD67" s="71">
        <v>3449.5243701199647</v>
      </c>
      <c r="DE67" s="71">
        <v>3468.2666886011375</v>
      </c>
      <c r="DF67" s="71">
        <v>3487.2755413352584</v>
      </c>
      <c r="DG67" s="71">
        <v>3506.5509283223259</v>
      </c>
      <c r="DH67" s="71">
        <v>3526.0928495623416</v>
      </c>
      <c r="DI67" s="71">
        <v>3545.9013050553053</v>
      </c>
      <c r="DJ67" s="71">
        <v>3565.9762948012162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-87.363108714326401</v>
      </c>
      <c r="P68" s="71">
        <v>-87.363108714326401</v>
      </c>
      <c r="Q68" s="71">
        <v>-87.314405200059724</v>
      </c>
      <c r="R68" s="71">
        <v>-87.033240397883191</v>
      </c>
      <c r="S68" s="71">
        <v>-86.50193483378176</v>
      </c>
      <c r="T68" s="71">
        <v>-85.720488507755505</v>
      </c>
      <c r="U68" s="71">
        <v>-84.688901419804395</v>
      </c>
      <c r="V68" s="71">
        <v>-83.407173569928403</v>
      </c>
      <c r="W68" s="71">
        <v>-81.875304958127558</v>
      </c>
      <c r="X68" s="71">
        <v>-80.09329558440183</v>
      </c>
      <c r="Y68" s="71">
        <v>-78.061145448751262</v>
      </c>
      <c r="Z68" s="71">
        <v>-75.778854551175826</v>
      </c>
      <c r="AA68" s="71">
        <v>-73.246422891675536</v>
      </c>
      <c r="AB68" s="71">
        <v>-70.463850470250378</v>
      </c>
      <c r="AC68" s="71">
        <v>-67.431137286900352</v>
      </c>
      <c r="AD68" s="71">
        <v>-64.148283341625458</v>
      </c>
      <c r="AE68" s="71">
        <v>-60.615288634425717</v>
      </c>
      <c r="AF68" s="71">
        <v>-56.832153165301115</v>
      </c>
      <c r="AG68" s="71">
        <v>-52.798876934251645</v>
      </c>
      <c r="AH68" s="71">
        <v>-48.515459941277321</v>
      </c>
      <c r="AI68" s="71">
        <v>-43.981902186378129</v>
      </c>
      <c r="AJ68" s="71">
        <v>-39.198203669554076</v>
      </c>
      <c r="AK68" s="71">
        <v>-34.164364390805154</v>
      </c>
      <c r="AL68" s="71">
        <v>-28.880384350131372</v>
      </c>
      <c r="AM68" s="71">
        <v>-23.346263547532754</v>
      </c>
      <c r="AN68" s="71">
        <v>-17.219730538480299</v>
      </c>
      <c r="AO68" s="71">
        <v>-10.057276922942471</v>
      </c>
      <c r="AP68" s="71">
        <v>-1.8570973635823549</v>
      </c>
      <c r="AQ68" s="71">
        <v>7.3808081396001395</v>
      </c>
      <c r="AR68" s="71">
        <v>17.656439586604971</v>
      </c>
      <c r="AS68" s="71">
        <v>28.969796977432146</v>
      </c>
      <c r="AT68" s="71">
        <v>41.320880312081599</v>
      </c>
      <c r="AU68" s="71">
        <v>54.709689590553445</v>
      </c>
      <c r="AV68" s="71">
        <v>69.13622481284763</v>
      </c>
      <c r="AW68" s="71">
        <v>84.600485978964088</v>
      </c>
      <c r="AX68" s="71">
        <v>101.10247308890294</v>
      </c>
      <c r="AY68" s="71">
        <v>118.64218614266414</v>
      </c>
      <c r="AZ68" s="71">
        <v>137.21962514024767</v>
      </c>
      <c r="BA68" s="71">
        <v>156.83479008165347</v>
      </c>
      <c r="BB68" s="71">
        <v>177.48768096688167</v>
      </c>
      <c r="BC68" s="71">
        <v>199.17829779593222</v>
      </c>
      <c r="BD68" s="71">
        <v>221.90664056880502</v>
      </c>
      <c r="BE68" s="71">
        <v>245.67270928550022</v>
      </c>
      <c r="BF68" s="71">
        <v>270.47650394601771</v>
      </c>
      <c r="BG68" s="71">
        <v>296.31802455035773</v>
      </c>
      <c r="BH68" s="71">
        <v>323.19727109851988</v>
      </c>
      <c r="BI68" s="71">
        <v>351.1142435905046</v>
      </c>
      <c r="BJ68" s="71">
        <v>380.06894202631133</v>
      </c>
      <c r="BK68" s="71">
        <v>410.06136640594042</v>
      </c>
      <c r="BL68" s="71">
        <v>441.0915167293922</v>
      </c>
      <c r="BM68" s="71">
        <v>473.15939299666599</v>
      </c>
      <c r="BN68" s="71">
        <v>506.26499520776207</v>
      </c>
      <c r="BO68" s="71">
        <v>540.40832336268079</v>
      </c>
      <c r="BP68" s="71">
        <v>575.58937746142169</v>
      </c>
      <c r="BQ68" s="71">
        <v>611.80815750398483</v>
      </c>
      <c r="BR68" s="71">
        <v>649.06466349037055</v>
      </c>
      <c r="BS68" s="71">
        <v>687.35889542057839</v>
      </c>
      <c r="BT68" s="71">
        <v>726.69085329460847</v>
      </c>
      <c r="BU68" s="71">
        <v>767.06053711246125</v>
      </c>
      <c r="BV68" s="71">
        <v>808.46794687413603</v>
      </c>
      <c r="BW68" s="71">
        <v>850.91308257963362</v>
      </c>
      <c r="BX68" s="71">
        <v>894.39594422895311</v>
      </c>
      <c r="BY68" s="71">
        <v>938.91653182209484</v>
      </c>
      <c r="BZ68" s="71">
        <v>984.47484535905926</v>
      </c>
      <c r="CA68" s="71">
        <v>1031.0708848398458</v>
      </c>
      <c r="CB68" s="71">
        <v>1078.7046502644546</v>
      </c>
      <c r="CC68" s="71">
        <v>1127.3761416328859</v>
      </c>
      <c r="CD68" s="71">
        <v>1177.0853589451397</v>
      </c>
      <c r="CE68" s="71">
        <v>1227.8323022012153</v>
      </c>
      <c r="CF68" s="71">
        <v>1279.6169714011139</v>
      </c>
      <c r="CG68" s="71">
        <v>1332.4393665448347</v>
      </c>
      <c r="CH68" s="71">
        <v>1386.2994876323778</v>
      </c>
      <c r="CI68" s="71">
        <v>1441.1973346637426</v>
      </c>
      <c r="CJ68" s="71">
        <v>1497.1329076389304</v>
      </c>
      <c r="CK68" s="71">
        <v>1554.1062065579408</v>
      </c>
      <c r="CL68" s="71">
        <v>1612.1172314207722</v>
      </c>
      <c r="CM68" s="71">
        <v>1671.1659822274275</v>
      </c>
      <c r="CN68" s="71">
        <v>1731.2524589779048</v>
      </c>
      <c r="CO68" s="71">
        <v>1792.3766616722032</v>
      </c>
      <c r="CP68" s="71">
        <v>1854.5385903103254</v>
      </c>
      <c r="CQ68" s="71">
        <v>1917.7382448922697</v>
      </c>
      <c r="CR68" s="71">
        <v>1981.9756254180352</v>
      </c>
      <c r="CS68" s="71">
        <v>2047.2507318876244</v>
      </c>
      <c r="CT68" s="71">
        <v>2113.5635643010346</v>
      </c>
      <c r="CU68" s="71">
        <v>2180.9141226582683</v>
      </c>
      <c r="CV68" s="71">
        <v>2249.3024069593243</v>
      </c>
      <c r="CW68" s="71">
        <v>2318.7284172042018</v>
      </c>
      <c r="CX68" s="71">
        <v>2389.1921533929026</v>
      </c>
      <c r="CY68" s="71">
        <v>2460.6936155254252</v>
      </c>
      <c r="CZ68" s="71">
        <v>2533.2328036017698</v>
      </c>
      <c r="DA68" s="71">
        <v>2606.8097176219376</v>
      </c>
      <c r="DB68" s="71">
        <v>2681.4243575859273</v>
      </c>
      <c r="DC68" s="71">
        <v>2757.0767234937398</v>
      </c>
      <c r="DD68" s="71">
        <v>2833.7668153453733</v>
      </c>
      <c r="DE68" s="71">
        <v>2911.4946331408305</v>
      </c>
      <c r="DF68" s="71">
        <v>2990.2601768801101</v>
      </c>
      <c r="DG68" s="71">
        <v>3070.0634465632106</v>
      </c>
      <c r="DH68" s="71">
        <v>3150.9044421901349</v>
      </c>
      <c r="DI68" s="71">
        <v>3232.7831637608811</v>
      </c>
      <c r="DJ68" s="71">
        <v>3315.6996112754491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1705.0885254250093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119.70510447253886</v>
      </c>
      <c r="K85" s="79">
        <v>2814.3132452196519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-702.79736856552177</v>
      </c>
      <c r="K86" s="79">
        <v>2797.3197131913444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2804246.5434264322</v>
      </c>
      <c r="J89" s="80">
        <v>5.9635886996024755E-2</v>
      </c>
      <c r="K89" s="80">
        <v>2.0433512108136537E-7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2801261.7991998447</v>
      </c>
      <c r="J90" s="80">
        <v>1.1218271965208259E-2</v>
      </c>
      <c r="K90" s="80">
        <v>7.9811567793045722E-9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2797319.7131913444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-22.962512859822453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1705.0885254250093</v>
      </c>
      <c r="K114" s="79">
        <v>3042.9488882836672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119.70510447253886</v>
      </c>
      <c r="K115" s="79">
        <v>78.021800541801838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-702.79736856552177</v>
      </c>
      <c r="K116" s="79">
        <v>-87.363108714326401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16.533515810604385</v>
      </c>
      <c r="J119" s="80">
        <v>4.1843215179772E-4</v>
      </c>
      <c r="K119" s="80">
        <v>7.9555949764513202E-10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7.3553695609433793</v>
      </c>
      <c r="J120" s="80">
        <v>2.6954704872785582E-4</v>
      </c>
      <c r="K120" s="80">
        <v>1.9176725809177952E-10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-87.363108714326401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3141.044721040947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1.1889677043178188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-808.57754566890367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-579.50570189885514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5.8903026375820761E-2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90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9.2502517227114056E-3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0.22226043900339121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C.4.7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3.0539462670903537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6" priority="3" stopIfTrue="1" operator="between">
      <formula>0</formula>
      <formula>1</formula>
    </cfRule>
  </conditionalFormatting>
  <conditionalFormatting sqref="K94">
    <cfRule type="cellIs" dxfId="5" priority="2" stopIfTrue="1" operator="between">
      <formula>0</formula>
      <formula>1</formula>
    </cfRule>
  </conditionalFormatting>
  <conditionalFormatting sqref="K124">
    <cfRule type="cellIs" dxfId="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2"/>
  <sheetViews>
    <sheetView showGridLines="0" zoomScaleNormal="100" workbookViewId="0">
      <pane ySplit="1" topLeftCell="A153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120°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-702.17100690874599</v>
      </c>
      <c r="P66" s="71">
        <v>-677.61685733827505</v>
      </c>
      <c r="Q66" s="71">
        <v>-653.06270776780411</v>
      </c>
      <c r="R66" s="71">
        <v>-628.50855819733329</v>
      </c>
      <c r="S66" s="71">
        <v>-603.95440862686235</v>
      </c>
      <c r="T66" s="71">
        <v>-579.40025905639141</v>
      </c>
      <c r="U66" s="71">
        <v>-554.84610948592046</v>
      </c>
      <c r="V66" s="71">
        <v>-530.29195991544964</v>
      </c>
      <c r="W66" s="71">
        <v>-505.73781034497875</v>
      </c>
      <c r="X66" s="71">
        <v>-481.18366077450787</v>
      </c>
      <c r="Y66" s="71">
        <v>-456.62951120403693</v>
      </c>
      <c r="Z66" s="71">
        <v>-432.07536163356605</v>
      </c>
      <c r="AA66" s="71">
        <v>-407.52121206309516</v>
      </c>
      <c r="AB66" s="71">
        <v>-382.96706249262428</v>
      </c>
      <c r="AC66" s="71">
        <v>-358.41291292215334</v>
      </c>
      <c r="AD66" s="71">
        <v>-333.85876335168246</v>
      </c>
      <c r="AE66" s="71">
        <v>-309.30461378121157</v>
      </c>
      <c r="AF66" s="71">
        <v>-284.75046421074063</v>
      </c>
      <c r="AG66" s="71">
        <v>-260.19631464026975</v>
      </c>
      <c r="AH66" s="71">
        <v>-235.64216506979884</v>
      </c>
      <c r="AI66" s="71">
        <v>-211.08801549932792</v>
      </c>
      <c r="AJ66" s="71">
        <v>-186.53386592885707</v>
      </c>
      <c r="AK66" s="71">
        <v>-161.9797163583861</v>
      </c>
      <c r="AL66" s="71">
        <v>-137.42556678791519</v>
      </c>
      <c r="AM66" s="71">
        <v>-112.87141721744439</v>
      </c>
      <c r="AN66" s="71">
        <v>-88.317267646973491</v>
      </c>
      <c r="AO66" s="71">
        <v>-63.763118076502579</v>
      </c>
      <c r="AP66" s="71">
        <v>-39.208968506031667</v>
      </c>
      <c r="AQ66" s="71">
        <v>-14.654818935560762</v>
      </c>
      <c r="AR66" s="71">
        <v>9.8993306349101484</v>
      </c>
      <c r="AS66" s="71">
        <v>34.453480205381055</v>
      </c>
      <c r="AT66" s="71">
        <v>59.007629775851967</v>
      </c>
      <c r="AU66" s="71">
        <v>83.561779346322879</v>
      </c>
      <c r="AV66" s="71">
        <v>108.11592891679378</v>
      </c>
      <c r="AW66" s="71">
        <v>132.6700784872647</v>
      </c>
      <c r="AX66" s="71">
        <v>157.22422805773559</v>
      </c>
      <c r="AY66" s="71">
        <v>181.7783776282065</v>
      </c>
      <c r="AZ66" s="71">
        <v>206.33252719867741</v>
      </c>
      <c r="BA66" s="71">
        <v>230.88667676914832</v>
      </c>
      <c r="BB66" s="71">
        <v>255.44082633961924</v>
      </c>
      <c r="BC66" s="71">
        <v>279.99497591009015</v>
      </c>
      <c r="BD66" s="71">
        <v>304.54912548056092</v>
      </c>
      <c r="BE66" s="71">
        <v>329.10327505103186</v>
      </c>
      <c r="BF66" s="71">
        <v>353.65742462150286</v>
      </c>
      <c r="BG66" s="71">
        <v>378.2115741919738</v>
      </c>
      <c r="BH66" s="71">
        <v>402.76572376244468</v>
      </c>
      <c r="BI66" s="71">
        <v>427.31987333291562</v>
      </c>
      <c r="BJ66" s="71">
        <v>451.8740229033865</v>
      </c>
      <c r="BK66" s="71">
        <v>476.42817247385716</v>
      </c>
      <c r="BL66" s="71">
        <v>500.9823220443281</v>
      </c>
      <c r="BM66" s="71">
        <v>525.53647161479898</v>
      </c>
      <c r="BN66" s="71">
        <v>550.09062118526992</v>
      </c>
      <c r="BO66" s="71">
        <v>574.64477075574086</v>
      </c>
      <c r="BP66" s="71">
        <v>599.19892032621169</v>
      </c>
      <c r="BQ66" s="71">
        <v>623.75306989668263</v>
      </c>
      <c r="BR66" s="71">
        <v>648.30721946715357</v>
      </c>
      <c r="BS66" s="71">
        <v>672.8613690376244</v>
      </c>
      <c r="BT66" s="71">
        <v>697.41551860809534</v>
      </c>
      <c r="BU66" s="71">
        <v>721.96966817856628</v>
      </c>
      <c r="BV66" s="71">
        <v>746.52381774903722</v>
      </c>
      <c r="BW66" s="71">
        <v>771.07796731950805</v>
      </c>
      <c r="BX66" s="71">
        <v>795.63211688997899</v>
      </c>
      <c r="BY66" s="71">
        <v>820.18626646044993</v>
      </c>
      <c r="BZ66" s="71">
        <v>844.74041603092076</v>
      </c>
      <c r="CA66" s="71">
        <v>869.2945656013917</v>
      </c>
      <c r="CB66" s="71">
        <v>893.84871517186264</v>
      </c>
      <c r="CC66" s="71">
        <v>918.40286474233358</v>
      </c>
      <c r="CD66" s="71">
        <v>942.9570143128044</v>
      </c>
      <c r="CE66" s="71">
        <v>967.51116388327534</v>
      </c>
      <c r="CF66" s="71">
        <v>992.06531345374628</v>
      </c>
      <c r="CG66" s="71">
        <v>1016.6194630242172</v>
      </c>
      <c r="CH66" s="71">
        <v>1041.1736125946882</v>
      </c>
      <c r="CI66" s="71">
        <v>1065.727762165159</v>
      </c>
      <c r="CJ66" s="71">
        <v>1090.2819117356298</v>
      </c>
      <c r="CK66" s="71">
        <v>1114.8360613061009</v>
      </c>
      <c r="CL66" s="71">
        <v>1139.3902108765717</v>
      </c>
      <c r="CM66" s="71">
        <v>1163.9443604470425</v>
      </c>
      <c r="CN66" s="71">
        <v>1188.4985100175136</v>
      </c>
      <c r="CO66" s="71">
        <v>1213.0526595879844</v>
      </c>
      <c r="CP66" s="71">
        <v>1237.6068091584552</v>
      </c>
      <c r="CQ66" s="71">
        <v>1262.1609587289263</v>
      </c>
      <c r="CR66" s="71">
        <v>1286.7151082993969</v>
      </c>
      <c r="CS66" s="71">
        <v>1311.2692578698679</v>
      </c>
      <c r="CT66" s="71">
        <v>1335.8234074403388</v>
      </c>
      <c r="CU66" s="71">
        <v>1360.3775570108096</v>
      </c>
      <c r="CV66" s="71">
        <v>1384.9317065812807</v>
      </c>
      <c r="CW66" s="71">
        <v>1409.4858561517517</v>
      </c>
      <c r="CX66" s="71">
        <v>1434.0400057222223</v>
      </c>
      <c r="CY66" s="71">
        <v>1458.5941552926936</v>
      </c>
      <c r="CZ66" s="71">
        <v>1483.1483048631642</v>
      </c>
      <c r="DA66" s="71">
        <v>1507.7024544336352</v>
      </c>
      <c r="DB66" s="71">
        <v>1532.2566040041061</v>
      </c>
      <c r="DC66" s="71">
        <v>1556.8107535745771</v>
      </c>
      <c r="DD66" s="71">
        <v>1581.3649031450479</v>
      </c>
      <c r="DE66" s="71">
        <v>1605.919052715519</v>
      </c>
      <c r="DF66" s="71">
        <v>1630.4732022859896</v>
      </c>
      <c r="DG66" s="71">
        <v>1655.0273518564604</v>
      </c>
      <c r="DH66" s="71">
        <v>1679.5815014269315</v>
      </c>
      <c r="DI66" s="71">
        <v>1704.1356509974021</v>
      </c>
      <c r="DJ66" s="71">
        <v>1728.6898005678736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2799.1669689479259</v>
      </c>
      <c r="P67" s="71">
        <v>2799.1669689479259</v>
      </c>
      <c r="Q67" s="71">
        <v>2799.167656631832</v>
      </c>
      <c r="R67" s="71">
        <v>2799.1714997073086</v>
      </c>
      <c r="S67" s="71">
        <v>2799.1787190967975</v>
      </c>
      <c r="T67" s="71">
        <v>2799.1893148002987</v>
      </c>
      <c r="U67" s="71">
        <v>2799.203286817813</v>
      </c>
      <c r="V67" s="71">
        <v>2799.2206351493396</v>
      </c>
      <c r="W67" s="71">
        <v>2799.2413597948785</v>
      </c>
      <c r="X67" s="71">
        <v>2799.26546075443</v>
      </c>
      <c r="Y67" s="71">
        <v>2799.2929380279938</v>
      </c>
      <c r="Z67" s="71">
        <v>2799.3237916155699</v>
      </c>
      <c r="AA67" s="71">
        <v>2799.3580215171592</v>
      </c>
      <c r="AB67" s="71">
        <v>2799.3956277327602</v>
      </c>
      <c r="AC67" s="71">
        <v>2799.436610262374</v>
      </c>
      <c r="AD67" s="71">
        <v>2799.4809691060004</v>
      </c>
      <c r="AE67" s="71">
        <v>2799.5287042636392</v>
      </c>
      <c r="AF67" s="71">
        <v>2799.5798157352901</v>
      </c>
      <c r="AG67" s="71">
        <v>2799.6343035209538</v>
      </c>
      <c r="AH67" s="71">
        <v>2799.6921676206298</v>
      </c>
      <c r="AI67" s="71">
        <v>2799.7534080343185</v>
      </c>
      <c r="AJ67" s="71">
        <v>2799.8180247620194</v>
      </c>
      <c r="AK67" s="71">
        <v>2799.886017803733</v>
      </c>
      <c r="AL67" s="71">
        <v>2799.9573871594594</v>
      </c>
      <c r="AM67" s="71">
        <v>2800.0559115707224</v>
      </c>
      <c r="AN67" s="71">
        <v>2800.3781304124523</v>
      </c>
      <c r="AO67" s="71">
        <v>2800.9677915302709</v>
      </c>
      <c r="AP67" s="71">
        <v>2801.8248949241774</v>
      </c>
      <c r="AQ67" s="71">
        <v>2802.9494405941714</v>
      </c>
      <c r="AR67" s="71">
        <v>2804.3414285402537</v>
      </c>
      <c r="AS67" s="71">
        <v>2806.0008587624234</v>
      </c>
      <c r="AT67" s="71">
        <v>2807.9277312606814</v>
      </c>
      <c r="AU67" s="71">
        <v>2810.1220460350273</v>
      </c>
      <c r="AV67" s="71">
        <v>2812.5838030854607</v>
      </c>
      <c r="AW67" s="71">
        <v>2815.3130024119823</v>
      </c>
      <c r="AX67" s="71">
        <v>2818.3096440145923</v>
      </c>
      <c r="AY67" s="71">
        <v>2821.5737278932897</v>
      </c>
      <c r="AZ67" s="71">
        <v>2825.105254048075</v>
      </c>
      <c r="BA67" s="71">
        <v>2828.9042224789482</v>
      </c>
      <c r="BB67" s="71">
        <v>2832.9706331859097</v>
      </c>
      <c r="BC67" s="71">
        <v>2837.3044861689586</v>
      </c>
      <c r="BD67" s="71">
        <v>2841.9057814280955</v>
      </c>
      <c r="BE67" s="71">
        <v>2846.7745189633206</v>
      </c>
      <c r="BF67" s="71">
        <v>2851.9106987746336</v>
      </c>
      <c r="BG67" s="71">
        <v>2857.3143208620345</v>
      </c>
      <c r="BH67" s="71">
        <v>2862.9853852255228</v>
      </c>
      <c r="BI67" s="71">
        <v>2868.9238918650994</v>
      </c>
      <c r="BJ67" s="71">
        <v>2875.129840780764</v>
      </c>
      <c r="BK67" s="71">
        <v>2881.6032319725159</v>
      </c>
      <c r="BL67" s="71">
        <v>2888.3440654403566</v>
      </c>
      <c r="BM67" s="71">
        <v>2895.3523411842843</v>
      </c>
      <c r="BN67" s="71">
        <v>2902.6280592043008</v>
      </c>
      <c r="BO67" s="71">
        <v>2910.1712195004047</v>
      </c>
      <c r="BP67" s="71">
        <v>2917.981822072597</v>
      </c>
      <c r="BQ67" s="71">
        <v>2926.0598669208766</v>
      </c>
      <c r="BR67" s="71">
        <v>2934.4053540452446</v>
      </c>
      <c r="BS67" s="71">
        <v>2943.0182834457</v>
      </c>
      <c r="BT67" s="71">
        <v>2951.8986551222438</v>
      </c>
      <c r="BU67" s="71">
        <v>2961.0464690748754</v>
      </c>
      <c r="BV67" s="71">
        <v>2970.4617253035949</v>
      </c>
      <c r="BW67" s="71">
        <v>2980.1444238084023</v>
      </c>
      <c r="BX67" s="71">
        <v>2990.0945645892975</v>
      </c>
      <c r="BY67" s="71">
        <v>3000.3121476462807</v>
      </c>
      <c r="BZ67" s="71">
        <v>3010.7971729793517</v>
      </c>
      <c r="CA67" s="71">
        <v>3021.5496405885106</v>
      </c>
      <c r="CB67" s="71">
        <v>3032.5695504737578</v>
      </c>
      <c r="CC67" s="71">
        <v>3043.8569026350924</v>
      </c>
      <c r="CD67" s="71">
        <v>3055.4116970725154</v>
      </c>
      <c r="CE67" s="71">
        <v>3067.2339337860258</v>
      </c>
      <c r="CF67" s="71">
        <v>3079.323612775624</v>
      </c>
      <c r="CG67" s="71">
        <v>3091.6807340413106</v>
      </c>
      <c r="CH67" s="71">
        <v>3104.3052975830851</v>
      </c>
      <c r="CI67" s="71">
        <v>3117.1973034009479</v>
      </c>
      <c r="CJ67" s="71">
        <v>3130.3567514948977</v>
      </c>
      <c r="CK67" s="71">
        <v>3143.7836418649358</v>
      </c>
      <c r="CL67" s="71">
        <v>3157.4779745110618</v>
      </c>
      <c r="CM67" s="71">
        <v>3171.4397494332757</v>
      </c>
      <c r="CN67" s="71">
        <v>3185.6689666315774</v>
      </c>
      <c r="CO67" s="71">
        <v>3200.1656261059675</v>
      </c>
      <c r="CP67" s="71">
        <v>3214.929727856445</v>
      </c>
      <c r="CQ67" s="71">
        <v>3229.9612718830103</v>
      </c>
      <c r="CR67" s="71">
        <v>3245.2602581856636</v>
      </c>
      <c r="CS67" s="71">
        <v>3260.8266867644052</v>
      </c>
      <c r="CT67" s="71">
        <v>3276.6605576192346</v>
      </c>
      <c r="CU67" s="71">
        <v>3292.761870750152</v>
      </c>
      <c r="CV67" s="71">
        <v>3309.1306261571572</v>
      </c>
      <c r="CW67" s="71">
        <v>3325.7668238402503</v>
      </c>
      <c r="CX67" s="71">
        <v>3342.6704637994308</v>
      </c>
      <c r="CY67" s="71">
        <v>3359.8415460347001</v>
      </c>
      <c r="CZ67" s="71">
        <v>3377.2800705460568</v>
      </c>
      <c r="DA67" s="71">
        <v>3394.9860373335014</v>
      </c>
      <c r="DB67" s="71">
        <v>3412.9594463970338</v>
      </c>
      <c r="DC67" s="71">
        <v>3431.2002977366551</v>
      </c>
      <c r="DD67" s="71">
        <v>3449.7085913523633</v>
      </c>
      <c r="DE67" s="71">
        <v>3468.4843272441599</v>
      </c>
      <c r="DF67" s="71">
        <v>3487.5275054120434</v>
      </c>
      <c r="DG67" s="71">
        <v>3506.8381258560157</v>
      </c>
      <c r="DH67" s="71">
        <v>3526.4161885760759</v>
      </c>
      <c r="DI67" s="71">
        <v>3546.2616935722235</v>
      </c>
      <c r="DJ67" s="71">
        <v>3566.3746408444595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-81.443766862936599</v>
      </c>
      <c r="P68" s="71">
        <v>-81.443766862936599</v>
      </c>
      <c r="Q68" s="71">
        <v>-81.396631778774207</v>
      </c>
      <c r="R68" s="71">
        <v>-81.133220515938646</v>
      </c>
      <c r="S68" s="71">
        <v>-80.638390655376099</v>
      </c>
      <c r="T68" s="71">
        <v>-79.912142197086524</v>
      </c>
      <c r="U68" s="71">
        <v>-78.954475141070006</v>
      </c>
      <c r="V68" s="71">
        <v>-77.765389487326459</v>
      </c>
      <c r="W68" s="71">
        <v>-76.344885235855941</v>
      </c>
      <c r="X68" s="71">
        <v>-74.692962386658422</v>
      </c>
      <c r="Y68" s="71">
        <v>-72.809620939733904</v>
      </c>
      <c r="Z68" s="71">
        <v>-70.694860895082414</v>
      </c>
      <c r="AA68" s="71">
        <v>-68.34868225270391</v>
      </c>
      <c r="AB68" s="71">
        <v>-65.771085012598419</v>
      </c>
      <c r="AC68" s="71">
        <v>-62.962069174765922</v>
      </c>
      <c r="AD68" s="71">
        <v>-59.921634739206461</v>
      </c>
      <c r="AE68" s="71">
        <v>-56.649781705919985</v>
      </c>
      <c r="AF68" s="71">
        <v>-53.146510074906516</v>
      </c>
      <c r="AG68" s="71">
        <v>-49.411819846166061</v>
      </c>
      <c r="AH68" s="71">
        <v>-45.445711019698614</v>
      </c>
      <c r="AI68" s="71">
        <v>-41.248183595504173</v>
      </c>
      <c r="AJ68" s="71">
        <v>-36.819237573582747</v>
      </c>
      <c r="AK68" s="71">
        <v>-32.158872953934306</v>
      </c>
      <c r="AL68" s="71">
        <v>-27.267089736558891</v>
      </c>
      <c r="AM68" s="71">
        <v>-22.070962812663609</v>
      </c>
      <c r="AN68" s="71">
        <v>-15.967741389733726</v>
      </c>
      <c r="AO68" s="71">
        <v>-8.8232587206333992</v>
      </c>
      <c r="AP68" s="71">
        <v>-0.63751480536264005</v>
      </c>
      <c r="AQ68" s="71">
        <v>8.5894903560785583</v>
      </c>
      <c r="AR68" s="71">
        <v>18.857756763690194</v>
      </c>
      <c r="AS68" s="71">
        <v>30.167284417472267</v>
      </c>
      <c r="AT68" s="71">
        <v>42.518073317424779</v>
      </c>
      <c r="AU68" s="71">
        <v>55.910123463547727</v>
      </c>
      <c r="AV68" s="71">
        <v>70.34343485584111</v>
      </c>
      <c r="AW68" s="71">
        <v>85.818007494304922</v>
      </c>
      <c r="AX68" s="71">
        <v>102.33384137893918</v>
      </c>
      <c r="AY68" s="71">
        <v>119.8909365097439</v>
      </c>
      <c r="AZ68" s="71">
        <v>138.48929288671903</v>
      </c>
      <c r="BA68" s="71">
        <v>158.1289105098646</v>
      </c>
      <c r="BB68" s="71">
        <v>178.80978937918061</v>
      </c>
      <c r="BC68" s="71">
        <v>200.53192949466705</v>
      </c>
      <c r="BD68" s="71">
        <v>223.29533085632386</v>
      </c>
      <c r="BE68" s="71">
        <v>247.09999346415114</v>
      </c>
      <c r="BF68" s="71">
        <v>271.94591731814904</v>
      </c>
      <c r="BG68" s="71">
        <v>297.8331024183172</v>
      </c>
      <c r="BH68" s="71">
        <v>324.76154876465586</v>
      </c>
      <c r="BI68" s="71">
        <v>352.73125635716491</v>
      </c>
      <c r="BJ68" s="71">
        <v>381.74222519584441</v>
      </c>
      <c r="BK68" s="71">
        <v>411.79445528069408</v>
      </c>
      <c r="BL68" s="71">
        <v>442.88794661171443</v>
      </c>
      <c r="BM68" s="71">
        <v>475.02269918890528</v>
      </c>
      <c r="BN68" s="71">
        <v>508.19871301226647</v>
      </c>
      <c r="BO68" s="71">
        <v>542.41598808179822</v>
      </c>
      <c r="BP68" s="71">
        <v>577.67452439750036</v>
      </c>
      <c r="BQ68" s="71">
        <v>613.97432195937279</v>
      </c>
      <c r="BR68" s="71">
        <v>651.31538076741595</v>
      </c>
      <c r="BS68" s="71">
        <v>689.69770082162927</v>
      </c>
      <c r="BT68" s="71">
        <v>729.1212821220131</v>
      </c>
      <c r="BU68" s="71">
        <v>769.58612466856732</v>
      </c>
      <c r="BV68" s="71">
        <v>811.09222846129217</v>
      </c>
      <c r="BW68" s="71">
        <v>853.63959350018752</v>
      </c>
      <c r="BX68" s="71">
        <v>897.22821978525303</v>
      </c>
      <c r="BY68" s="71">
        <v>941.85810731648905</v>
      </c>
      <c r="BZ68" s="71">
        <v>987.52925609389547</v>
      </c>
      <c r="CA68" s="71">
        <v>1034.2416661174725</v>
      </c>
      <c r="CB68" s="71">
        <v>1081.9953373872199</v>
      </c>
      <c r="CC68" s="71">
        <v>1130.7902699031376</v>
      </c>
      <c r="CD68" s="71">
        <v>1180.6264636652259</v>
      </c>
      <c r="CE68" s="71">
        <v>1231.5039186734846</v>
      </c>
      <c r="CF68" s="71">
        <v>1283.4226349279138</v>
      </c>
      <c r="CG68" s="71">
        <v>1336.3826124285133</v>
      </c>
      <c r="CH68" s="71">
        <v>1390.3838511752833</v>
      </c>
      <c r="CI68" s="71">
        <v>1445.4263511682236</v>
      </c>
      <c r="CJ68" s="71">
        <v>1501.5101124073344</v>
      </c>
      <c r="CK68" s="71">
        <v>1558.6351348926157</v>
      </c>
      <c r="CL68" s="71">
        <v>1616.8014186240678</v>
      </c>
      <c r="CM68" s="71">
        <v>1676.0089636016899</v>
      </c>
      <c r="CN68" s="71">
        <v>1736.2577698254825</v>
      </c>
      <c r="CO68" s="71">
        <v>1797.5478372954453</v>
      </c>
      <c r="CP68" s="71">
        <v>1859.8791660115787</v>
      </c>
      <c r="CQ68" s="71">
        <v>1923.2517559738826</v>
      </c>
      <c r="CR68" s="71">
        <v>1987.6656071823566</v>
      </c>
      <c r="CS68" s="71">
        <v>2053.120719637001</v>
      </c>
      <c r="CT68" s="71">
        <v>2119.6170933378166</v>
      </c>
      <c r="CU68" s="71">
        <v>2187.1547282848023</v>
      </c>
      <c r="CV68" s="71">
        <v>2255.7336244779581</v>
      </c>
      <c r="CW68" s="71">
        <v>2325.3537819172857</v>
      </c>
      <c r="CX68" s="71">
        <v>2396.0152006027815</v>
      </c>
      <c r="CY68" s="71">
        <v>2467.7178805344497</v>
      </c>
      <c r="CZ68" s="71">
        <v>2540.461821712287</v>
      </c>
      <c r="DA68" s="71">
        <v>2614.2470241362957</v>
      </c>
      <c r="DB68" s="71">
        <v>2689.0734878064741</v>
      </c>
      <c r="DC68" s="71">
        <v>2764.9412127228238</v>
      </c>
      <c r="DD68" s="71">
        <v>2841.8501988853423</v>
      </c>
      <c r="DE68" s="71">
        <v>2919.8004462940335</v>
      </c>
      <c r="DF68" s="71">
        <v>2998.7919549488934</v>
      </c>
      <c r="DG68" s="71">
        <v>3078.8247248499238</v>
      </c>
      <c r="DH68" s="71">
        <v>3159.8987559971251</v>
      </c>
      <c r="DI68" s="71">
        <v>3242.0140483904966</v>
      </c>
      <c r="DJ68" s="71">
        <v>3325.1706020300403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1646.3712386360698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112.9012077087345</v>
      </c>
      <c r="K85" s="79">
        <v>2813.0947062774817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-668.73429229404371</v>
      </c>
      <c r="K86" s="79">
        <v>2799.1669689479259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2803748.0538283489</v>
      </c>
      <c r="J89" s="80">
        <v>5.7745277799424469E-2</v>
      </c>
      <c r="K89" s="80">
        <v>2.217942434260637E-7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2800419.1589438887</v>
      </c>
      <c r="J90" s="80">
        <v>3.7449552397473326E-3</v>
      </c>
      <c r="K90" s="80">
        <v>2.8000323019928731E-9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2799166.9689479261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-24.346329473536805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1646.3712386360698</v>
      </c>
      <c r="K114" s="79">
        <v>3050.4918102387696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112.9012077087345</v>
      </c>
      <c r="K115" s="79">
        <v>73.277534242578412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-668.73429229404371</v>
      </c>
      <c r="K116" s="79">
        <v>-81.443766862936599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14.592693635082229</v>
      </c>
      <c r="J119" s="80">
        <v>4.2229517000235675E-4</v>
      </c>
      <c r="K119" s="138">
        <v>8.635349417507105E-10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4.3835738059586093</v>
      </c>
      <c r="J120" s="80">
        <v>2.5668592640724561E-4</v>
      </c>
      <c r="K120" s="80">
        <v>1.9191921916154728E-10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-81.443766862936599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2017.7295192355302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1.1213881842019351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-774.5144693974255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-545.44262562737708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5.544073381599593E-2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119.99999999999999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3.054513941280923E-3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0.20936184561566074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D.4.7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3.8545686486734905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3" priority="3" stopIfTrue="1" operator="between">
      <formula>0</formula>
      <formula>1</formula>
    </cfRule>
  </conditionalFormatting>
  <conditionalFormatting sqref="K94">
    <cfRule type="cellIs" dxfId="2" priority="2" stopIfTrue="1" operator="between">
      <formula>0</formula>
      <formula>1</formula>
    </cfRule>
  </conditionalFormatting>
  <conditionalFormatting sqref="K124">
    <cfRule type="cellIs" dxfId="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2C6-0F67-46C2-9294-097E880CC2DB}">
  <sheetPr>
    <tabColor theme="0" tint="-0.249977111117893"/>
  </sheetPr>
  <dimension ref="A1:AM1048558"/>
  <sheetViews>
    <sheetView showGridLines="0" topLeftCell="G1" zoomScale="85" zoomScaleNormal="85" workbookViewId="0">
      <pane ySplit="26" topLeftCell="A1183" activePane="bottomLeft" state="frozen"/>
      <selection pane="bottomLeft" activeCell="U16" sqref="U16:W1216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213</v>
      </c>
      <c r="I2" s="117" t="s">
        <v>281</v>
      </c>
      <c r="AD2" s="117" t="s">
        <v>410</v>
      </c>
    </row>
    <row r="4" spans="1:39">
      <c r="B4" s="117" t="s">
        <v>280</v>
      </c>
      <c r="U4" s="117" t="s">
        <v>397</v>
      </c>
      <c r="AD4" s="165">
        <f>COUNT(AD7:AD24)</f>
        <v>7</v>
      </c>
    </row>
    <row r="5" spans="1:39">
      <c r="I5" t="s">
        <v>396</v>
      </c>
      <c r="L5" s="153">
        <v>0</v>
      </c>
      <c r="M5" t="s">
        <v>395</v>
      </c>
      <c r="O5" s="117" t="s">
        <v>394</v>
      </c>
    </row>
    <row r="6" spans="1:39" ht="13.8">
      <c r="I6" t="s">
        <v>393</v>
      </c>
      <c r="J6">
        <v>1</v>
      </c>
      <c r="L6" s="152">
        <v>1</v>
      </c>
      <c r="O6" s="166" t="s">
        <v>392</v>
      </c>
      <c r="P6" s="110">
        <v>50</v>
      </c>
      <c r="U6" s="174" t="s">
        <v>391</v>
      </c>
      <c r="V6" s="108">
        <v>1</v>
      </c>
      <c r="W6" t="s">
        <v>390</v>
      </c>
      <c r="AD6" s="116" t="s">
        <v>409</v>
      </c>
      <c r="AE6" s="116" t="s">
        <v>408</v>
      </c>
      <c r="AF6" s="116" t="s">
        <v>407</v>
      </c>
      <c r="AG6" s="116" t="s">
        <v>406</v>
      </c>
      <c r="AH6" s="116" t="s">
        <v>92</v>
      </c>
      <c r="AI6" s="116" t="s">
        <v>405</v>
      </c>
      <c r="AJ6" s="116" t="s">
        <v>404</v>
      </c>
      <c r="AK6" s="116" t="s">
        <v>403</v>
      </c>
      <c r="AL6" s="103"/>
    </row>
    <row r="7" spans="1:39" ht="13.8">
      <c r="I7" t="s">
        <v>389</v>
      </c>
      <c r="L7" s="152">
        <v>0</v>
      </c>
      <c r="O7" s="166" t="s">
        <v>388</v>
      </c>
      <c r="P7" s="110">
        <v>0.1</v>
      </c>
      <c r="U7" s="174" t="s">
        <v>387</v>
      </c>
      <c r="V7" s="108">
        <v>1</v>
      </c>
      <c r="W7" t="s">
        <v>386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402</v>
      </c>
      <c r="AJ7" s="103">
        <v>2800</v>
      </c>
      <c r="AK7" s="164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6" t="s">
        <v>385</v>
      </c>
      <c r="P8" s="109">
        <v>0.88300620235731286</v>
      </c>
      <c r="U8" s="174" t="s">
        <v>384</v>
      </c>
      <c r="V8" s="108">
        <v>1</v>
      </c>
      <c r="W8" t="s">
        <v>383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402</v>
      </c>
      <c r="AJ8" s="103">
        <v>2800</v>
      </c>
      <c r="AK8" s="164" t="str">
        <f t="shared" si="1"/>
        <v>Case_2_D7500_L_Tilt-0p25deg_ShapeFactor-1p00_Fv2800kN</v>
      </c>
      <c r="AL8" s="103"/>
    </row>
    <row r="9" spans="1:39">
      <c r="I9" s="117" t="s">
        <v>382</v>
      </c>
      <c r="O9" s="166" t="s">
        <v>381</v>
      </c>
      <c r="P9" s="109">
        <v>40.136645561696035</v>
      </c>
      <c r="Q9" t="s">
        <v>380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402</v>
      </c>
      <c r="AJ9" s="103">
        <v>2800</v>
      </c>
      <c r="AK9" s="164" t="str">
        <f t="shared" si="1"/>
        <v>Case_3_D7500_L_Tilt-0p00deg_ShapeFactor-1p20_Fv2800kN</v>
      </c>
      <c r="AL9" s="103"/>
    </row>
    <row r="10" spans="1:39" ht="15">
      <c r="I10" s="169" t="s">
        <v>379</v>
      </c>
      <c r="K10" s="168" t="s">
        <v>378</v>
      </c>
      <c r="L10" s="104">
        <v>270</v>
      </c>
      <c r="M10" s="168" t="s">
        <v>8</v>
      </c>
      <c r="O10" s="166" t="s">
        <v>377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402</v>
      </c>
      <c r="AJ10" s="103">
        <v>910</v>
      </c>
      <c r="AK10" s="164" t="str">
        <f t="shared" si="1"/>
        <v>Case_4_D4600_L_Tilt-0p00deg_ShapeFactor-1p00_Fv910kN</v>
      </c>
      <c r="AL10" s="103"/>
    </row>
    <row r="11" spans="1:39" ht="15">
      <c r="I11" s="173" t="s">
        <v>376</v>
      </c>
      <c r="K11" s="172" t="s">
        <v>375</v>
      </c>
      <c r="L11" s="104">
        <v>130</v>
      </c>
      <c r="M11" s="172" t="s">
        <v>8</v>
      </c>
      <c r="O11" s="166" t="s">
        <v>374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401</v>
      </c>
      <c r="AJ11" s="103">
        <v>928</v>
      </c>
      <c r="AK11" s="164" t="str">
        <f t="shared" si="1"/>
        <v>Case_5_D7500_T_Tilt-0p00deg_ShapeFactor-1p00_Fv928kN</v>
      </c>
      <c r="AL11" s="103"/>
    </row>
    <row r="12" spans="1:39">
      <c r="O12" s="166" t="s">
        <v>373</v>
      </c>
      <c r="P12" s="110">
        <v>2000000</v>
      </c>
      <c r="U12" s="117" t="s">
        <v>372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401</v>
      </c>
      <c r="AJ12" s="103">
        <v>928</v>
      </c>
      <c r="AK12" s="164" t="str">
        <f t="shared" si="1"/>
        <v>Case_6_D7500_T_Tilt-0p00deg_ShapeFactor-1p50_Fv928kN</v>
      </c>
      <c r="AL12" s="103"/>
    </row>
    <row r="13" spans="1:39" ht="15">
      <c r="I13" s="169" t="s">
        <v>371</v>
      </c>
      <c r="K13" s="168" t="s">
        <v>370</v>
      </c>
      <c r="L13" s="151">
        <v>76.102999999999994</v>
      </c>
      <c r="M13" s="168" t="s">
        <v>8</v>
      </c>
      <c r="O13" s="166" t="s">
        <v>369</v>
      </c>
      <c r="P13" s="109">
        <v>40.136645561696035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401</v>
      </c>
      <c r="AJ13" s="103">
        <v>928</v>
      </c>
      <c r="AK13" s="164" t="str">
        <f t="shared" si="1"/>
        <v>Case_7_D7500_T_Tilt-1p00deg_ShapeFactor-1p50_Fv928kN</v>
      </c>
      <c r="AL13" s="103"/>
    </row>
    <row r="14" spans="1:39" ht="15">
      <c r="I14" s="169" t="s">
        <v>368</v>
      </c>
      <c r="K14" s="168" t="s">
        <v>367</v>
      </c>
      <c r="L14" s="151">
        <v>76.102999999999994</v>
      </c>
      <c r="M14" s="168" t="s">
        <v>8</v>
      </c>
      <c r="O14" s="166" t="s">
        <v>366</v>
      </c>
      <c r="P14" s="109">
        <v>1</v>
      </c>
      <c r="U14" s="171" t="s">
        <v>365</v>
      </c>
      <c r="V14" s="171" t="s">
        <v>364</v>
      </c>
      <c r="W14" s="171" t="s">
        <v>363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9" t="s">
        <v>362</v>
      </c>
      <c r="K15" s="168" t="s">
        <v>361</v>
      </c>
      <c r="L15" s="151">
        <v>72.638974595999997</v>
      </c>
      <c r="M15" s="168" t="s">
        <v>8</v>
      </c>
      <c r="O15" s="166" t="s">
        <v>360</v>
      </c>
      <c r="P15" s="109">
        <v>1.1000000000000001</v>
      </c>
      <c r="U15" s="170" t="s">
        <v>359</v>
      </c>
      <c r="V15" s="170" t="s">
        <v>359</v>
      </c>
      <c r="W15" s="170" t="s">
        <v>122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6" t="s">
        <v>358</v>
      </c>
      <c r="P16" s="109">
        <v>0.78</v>
      </c>
      <c r="U16" s="144">
        <v>2.1692199999999998E-2</v>
      </c>
      <c r="V16" s="144">
        <v>-279205</v>
      </c>
      <c r="W16" s="143">
        <v>2954.02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9" t="s">
        <v>357</v>
      </c>
      <c r="K17" s="168" t="s">
        <v>356</v>
      </c>
      <c r="L17" s="150">
        <v>4344.0716042398344</v>
      </c>
      <c r="M17" s="168" t="s">
        <v>217</v>
      </c>
      <c r="U17" s="144">
        <v>2.1692199999999998E-2</v>
      </c>
      <c r="V17" s="144">
        <v>-264602</v>
      </c>
      <c r="W17" s="143">
        <v>308467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11752.7</v>
      </c>
      <c r="V18" s="144">
        <v>-264602</v>
      </c>
      <c r="W18" s="143">
        <v>2660.49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23505.4</v>
      </c>
      <c r="V19" s="144">
        <v>-264602</v>
      </c>
      <c r="W19" s="143">
        <v>432.4</v>
      </c>
    </row>
    <row r="20" spans="2:38">
      <c r="U20" s="144">
        <v>58763.4</v>
      </c>
      <c r="V20" s="144">
        <v>-264602</v>
      </c>
      <c r="W20" s="143">
        <v>0.12</v>
      </c>
    </row>
    <row r="21" spans="2:38">
      <c r="U21" s="144">
        <v>2.1692199999999998E-2</v>
      </c>
      <c r="V21" s="144">
        <v>-250000</v>
      </c>
      <c r="W21" s="143">
        <v>1512860</v>
      </c>
    </row>
    <row r="22" spans="2:38">
      <c r="U22" s="144">
        <v>11752.7</v>
      </c>
      <c r="V22" s="144">
        <v>-250000</v>
      </c>
      <c r="W22" s="143">
        <v>94777.600000000006</v>
      </c>
    </row>
    <row r="23" spans="2:38">
      <c r="U23" s="144">
        <v>23505.4</v>
      </c>
      <c r="V23" s="144">
        <v>-250000</v>
      </c>
      <c r="W23" s="143">
        <v>54087.8</v>
      </c>
    </row>
    <row r="24" spans="2:38">
      <c r="U24" s="144">
        <v>35258</v>
      </c>
      <c r="V24" s="144">
        <v>-250000</v>
      </c>
      <c r="W24" s="143">
        <v>25058.9</v>
      </c>
    </row>
    <row r="25" spans="2:38">
      <c r="U25" s="144">
        <v>47010.7</v>
      </c>
      <c r="V25" s="144">
        <v>-250000</v>
      </c>
      <c r="W25" s="143">
        <v>20490.2</v>
      </c>
    </row>
    <row r="26" spans="2:38">
      <c r="B26" s="116" t="s">
        <v>212</v>
      </c>
      <c r="C26" s="116" t="s">
        <v>211</v>
      </c>
      <c r="D26" s="116" t="s">
        <v>210</v>
      </c>
      <c r="E26" s="116" t="s">
        <v>355</v>
      </c>
      <c r="F26" s="116" t="s">
        <v>209</v>
      </c>
      <c r="G26" s="115"/>
      <c r="H26" s="115"/>
      <c r="I26" s="116" t="s">
        <v>212</v>
      </c>
      <c r="J26" s="116" t="s">
        <v>211</v>
      </c>
      <c r="K26" s="116" t="s">
        <v>210</v>
      </c>
      <c r="L26" s="116" t="s">
        <v>279</v>
      </c>
      <c r="M26" s="116" t="s">
        <v>278</v>
      </c>
      <c r="N26" s="116" t="s">
        <v>277</v>
      </c>
      <c r="O26" s="116" t="s">
        <v>276</v>
      </c>
      <c r="U26" s="144">
        <v>58763.4</v>
      </c>
      <c r="V26" s="144">
        <v>-250000</v>
      </c>
      <c r="W26" s="143">
        <v>4530.04</v>
      </c>
    </row>
    <row r="27" spans="2:38" ht="15.6">
      <c r="B27" s="106">
        <v>23</v>
      </c>
      <c r="C27" s="103" t="s">
        <v>196</v>
      </c>
      <c r="E27" s="104"/>
      <c r="F27" t="s">
        <v>208</v>
      </c>
      <c r="I27" s="106">
        <f>B27</f>
        <v>23</v>
      </c>
      <c r="J27" s="103" t="s">
        <v>196</v>
      </c>
      <c r="L27" s="104"/>
      <c r="M27" s="104"/>
      <c r="N27" s="104"/>
      <c r="O27" s="104"/>
      <c r="P27" t="str">
        <f t="shared" ref="P27:P66" si="2">IF(F27&lt;&gt;"",F27,"")</f>
        <v>Simplified formula used, therefore not evaluated</v>
      </c>
      <c r="U27" s="144">
        <v>82268.7</v>
      </c>
      <c r="V27" s="144">
        <v>-250000</v>
      </c>
      <c r="W27" s="143">
        <v>1010.47</v>
      </c>
    </row>
    <row r="28" spans="2:38" ht="15.6">
      <c r="B28" s="106">
        <f>B27+1</f>
        <v>24</v>
      </c>
      <c r="C28" s="105" t="s">
        <v>207</v>
      </c>
      <c r="D28" s="103" t="s">
        <v>127</v>
      </c>
      <c r="E28" s="107">
        <f>0.05*E34</f>
        <v>153.74071147146736</v>
      </c>
      <c r="F28" t="s">
        <v>206</v>
      </c>
      <c r="I28" s="106">
        <f>I27+1</f>
        <v>24</v>
      </c>
      <c r="J28" s="105" t="s">
        <v>207</v>
      </c>
      <c r="K28" s="103" t="s">
        <v>127</v>
      </c>
      <c r="L28" s="107">
        <v>153.74071147146736</v>
      </c>
      <c r="M28" s="107">
        <v>153.74071147146736</v>
      </c>
      <c r="N28" s="107">
        <v>153.74071147146736</v>
      </c>
      <c r="O28" s="107">
        <v>153.74071147146736</v>
      </c>
      <c r="P28" t="str">
        <f t="shared" si="2"/>
        <v>Simplified formula used, therefore not used directly (but reported here for info)</v>
      </c>
      <c r="U28" s="144">
        <v>2.1692199999999998E-2</v>
      </c>
      <c r="V28" s="144">
        <v>-235398</v>
      </c>
      <c r="W28" s="143">
        <v>4766510</v>
      </c>
    </row>
    <row r="29" spans="2:38" ht="15.6">
      <c r="B29" s="106"/>
      <c r="C29" s="105" t="s">
        <v>205</v>
      </c>
      <c r="D29" s="103" t="s">
        <v>204</v>
      </c>
      <c r="E29" s="107">
        <v>900</v>
      </c>
      <c r="F29" t="s">
        <v>203</v>
      </c>
      <c r="I29" s="106"/>
      <c r="J29" s="105" t="s">
        <v>205</v>
      </c>
      <c r="K29" s="103" t="s">
        <v>204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2"/>
        <v>Nominal yield strength (0.2% strain limit) for 10.9 bolts</v>
      </c>
      <c r="U29" s="144">
        <v>11752.7</v>
      </c>
      <c r="V29" s="144">
        <v>-235398</v>
      </c>
      <c r="W29" s="143">
        <v>418668</v>
      </c>
    </row>
    <row r="30" spans="2:38" ht="15.6">
      <c r="B30" s="106"/>
      <c r="C30" s="105" t="s">
        <v>202</v>
      </c>
      <c r="D30" s="103" t="s">
        <v>142</v>
      </c>
      <c r="E30" s="107">
        <v>4344.0716042398344</v>
      </c>
      <c r="F30" t="s">
        <v>330</v>
      </c>
      <c r="I30" s="106"/>
      <c r="J30" s="105" t="s">
        <v>202</v>
      </c>
      <c r="K30" s="103" t="s">
        <v>142</v>
      </c>
      <c r="L30" s="107">
        <v>4344.0716042398344</v>
      </c>
      <c r="M30" s="107">
        <v>4344.0716042398344</v>
      </c>
      <c r="N30" s="107">
        <v>4344.0716042398344</v>
      </c>
      <c r="O30" s="107">
        <v>4344.0716042398344</v>
      </c>
      <c r="P30" t="str">
        <f t="shared" si="2"/>
        <v>Stress area of bolt</v>
      </c>
      <c r="U30" s="144">
        <v>23505.4</v>
      </c>
      <c r="V30" s="144">
        <v>-235398</v>
      </c>
      <c r="W30" s="143">
        <v>275957</v>
      </c>
    </row>
    <row r="31" spans="2:38" ht="15.6">
      <c r="B31" s="106">
        <f>B28+1</f>
        <v>25</v>
      </c>
      <c r="C31" s="103" t="s">
        <v>196</v>
      </c>
      <c r="D31" s="103" t="s">
        <v>127</v>
      </c>
      <c r="E31" s="107">
        <v>2800</v>
      </c>
      <c r="F31" t="s">
        <v>201</v>
      </c>
      <c r="I31" s="106">
        <f>I28+1</f>
        <v>25</v>
      </c>
      <c r="J31" s="103" t="s">
        <v>196</v>
      </c>
      <c r="K31" s="103" t="s">
        <v>127</v>
      </c>
      <c r="L31" s="107">
        <v>2800</v>
      </c>
      <c r="M31" s="107">
        <v>2800</v>
      </c>
      <c r="N31" s="107">
        <v>2800</v>
      </c>
      <c r="O31" s="107">
        <v>2800</v>
      </c>
      <c r="P31" t="str">
        <f t="shared" si="2"/>
        <v>Design value of preload, simplified formula</v>
      </c>
      <c r="U31" s="144">
        <v>35258</v>
      </c>
      <c r="V31" s="144">
        <v>-235398</v>
      </c>
      <c r="W31" s="143">
        <v>178983</v>
      </c>
    </row>
    <row r="32" spans="2:38" ht="15.6">
      <c r="B32" s="106"/>
      <c r="C32" s="103" t="s">
        <v>200</v>
      </c>
      <c r="D32" s="103" t="s">
        <v>127</v>
      </c>
      <c r="E32" s="107">
        <v>3144.2390271487925</v>
      </c>
      <c r="F32" t="s">
        <v>331</v>
      </c>
      <c r="I32" s="106"/>
      <c r="J32" s="103" t="s">
        <v>200</v>
      </c>
      <c r="K32" s="103" t="s">
        <v>127</v>
      </c>
      <c r="L32" s="107">
        <v>3144.2390271487925</v>
      </c>
      <c r="M32" s="107">
        <v>3144.2390271487925</v>
      </c>
      <c r="N32" s="107">
        <v>3144.2390271487925</v>
      </c>
      <c r="O32" s="107">
        <v>3144.2390271487925</v>
      </c>
      <c r="P32" t="str">
        <f t="shared" si="2"/>
        <v>Mean preload after installation</v>
      </c>
      <c r="U32" s="144">
        <v>47010.7</v>
      </c>
      <c r="V32" s="144">
        <v>-235398</v>
      </c>
      <c r="W32" s="143">
        <v>94597.7</v>
      </c>
    </row>
    <row r="33" spans="2:23" ht="15.6">
      <c r="B33" s="106"/>
      <c r="C33" s="103" t="s">
        <v>199</v>
      </c>
      <c r="D33" s="103" t="s">
        <v>122</v>
      </c>
      <c r="E33" s="109">
        <v>0.03</v>
      </c>
      <c r="F33" t="s">
        <v>332</v>
      </c>
      <c r="I33" s="106"/>
      <c r="J33" s="103" t="s">
        <v>199</v>
      </c>
      <c r="K33" s="103" t="s">
        <v>122</v>
      </c>
      <c r="L33" s="109">
        <v>0.03</v>
      </c>
      <c r="M33" s="109">
        <v>0.03</v>
      </c>
      <c r="N33" s="109">
        <v>0.03</v>
      </c>
      <c r="O33" s="109">
        <v>0.03</v>
      </c>
      <c r="P33" t="str">
        <f t="shared" si="2"/>
        <v>Coefficient of variation for preload</v>
      </c>
      <c r="U33" s="144">
        <v>58763.4</v>
      </c>
      <c r="V33" s="144">
        <v>-235398</v>
      </c>
      <c r="W33" s="143">
        <v>35671</v>
      </c>
    </row>
    <row r="34" spans="2:23" ht="15.6">
      <c r="B34" s="106"/>
      <c r="C34" s="103" t="s">
        <v>198</v>
      </c>
      <c r="D34" s="103" t="s">
        <v>127</v>
      </c>
      <c r="E34" s="107">
        <f>(1-0.736*E33)*E32</f>
        <v>3074.8142294293471</v>
      </c>
      <c r="F34" t="s">
        <v>333</v>
      </c>
      <c r="I34" s="106"/>
      <c r="J34" s="103" t="s">
        <v>198</v>
      </c>
      <c r="K34" s="103" t="s">
        <v>127</v>
      </c>
      <c r="L34" s="107">
        <v>3074.8142294293471</v>
      </c>
      <c r="M34" s="107">
        <v>3074.8142294293471</v>
      </c>
      <c r="N34" s="107">
        <v>3074.8142294293471</v>
      </c>
      <c r="O34" s="107">
        <v>3074.8142294293471</v>
      </c>
      <c r="P34" t="str">
        <f t="shared" si="2"/>
        <v>Design preload averaged over 5 bolts (after installation, without preload losses)</v>
      </c>
      <c r="U34" s="144">
        <v>70516</v>
      </c>
      <c r="V34" s="144">
        <v>-235398</v>
      </c>
      <c r="W34" s="143">
        <v>11586.8</v>
      </c>
    </row>
    <row r="35" spans="2:23" ht="15.6">
      <c r="B35" s="131">
        <f>B31+1</f>
        <v>26</v>
      </c>
      <c r="C35" s="130" t="s">
        <v>275</v>
      </c>
      <c r="D35" s="130" t="s">
        <v>127</v>
      </c>
      <c r="E35" s="129">
        <v>0</v>
      </c>
      <c r="F35" s="149" t="s">
        <v>412</v>
      </c>
      <c r="G35" s="132"/>
      <c r="H35" s="132"/>
      <c r="I35" s="131">
        <f>I31+1</f>
        <v>26</v>
      </c>
      <c r="J35" s="130" t="s">
        <v>275</v>
      </c>
      <c r="K35" s="130" t="s">
        <v>127</v>
      </c>
      <c r="L35" s="129">
        <v>0</v>
      </c>
      <c r="M35" s="129">
        <v>0</v>
      </c>
      <c r="N35" s="129">
        <v>0</v>
      </c>
      <c r="O35" s="129">
        <v>0</v>
      </c>
      <c r="P35" t="str">
        <f t="shared" si="2"/>
        <v>Design value capped to 90% Fp,C*: Yes</v>
      </c>
      <c r="U35" s="144">
        <v>82268.7</v>
      </c>
      <c r="V35" s="144">
        <v>-235398</v>
      </c>
      <c r="W35" s="143">
        <v>5208.74</v>
      </c>
    </row>
    <row r="36" spans="2:23" ht="15.6">
      <c r="B36" s="106"/>
      <c r="C36" s="105" t="s">
        <v>194</v>
      </c>
      <c r="D36" s="103" t="s">
        <v>274</v>
      </c>
      <c r="E36" s="114">
        <v>5.8458922294713925E-10</v>
      </c>
      <c r="I36" s="106"/>
      <c r="J36" s="105" t="s">
        <v>194</v>
      </c>
      <c r="K36" s="103" t="s">
        <v>274</v>
      </c>
      <c r="L36" s="114">
        <v>5.8458922294713925E-10</v>
      </c>
      <c r="M36" s="114">
        <v>5.8458922294713925E-10</v>
      </c>
      <c r="N36" s="114">
        <v>5.8458922294713925E-10</v>
      </c>
      <c r="O36" s="114">
        <v>5.8458922294713925E-10</v>
      </c>
      <c r="P36" t="str">
        <f t="shared" si="2"/>
        <v/>
      </c>
      <c r="U36" s="144">
        <v>94021.4</v>
      </c>
      <c r="V36" s="144">
        <v>-235398</v>
      </c>
      <c r="W36" s="143">
        <v>2239.7800000000002</v>
      </c>
    </row>
    <row r="37" spans="2:23" ht="15.6">
      <c r="B37" s="106"/>
      <c r="C37" s="105" t="s">
        <v>193</v>
      </c>
      <c r="D37" s="103" t="s">
        <v>274</v>
      </c>
      <c r="E37" s="114">
        <v>9.6993208304588435E-11</v>
      </c>
      <c r="F37" s="148"/>
      <c r="I37" s="106"/>
      <c r="J37" s="105" t="s">
        <v>193</v>
      </c>
      <c r="K37" s="103" t="s">
        <v>274</v>
      </c>
      <c r="L37" s="114">
        <v>9.6993208304588435E-11</v>
      </c>
      <c r="M37" s="114">
        <v>9.6993208304588435E-11</v>
      </c>
      <c r="N37" s="114">
        <v>9.6993208304588435E-11</v>
      </c>
      <c r="O37" s="114">
        <v>9.6993208304588435E-11</v>
      </c>
      <c r="P37" t="str">
        <f t="shared" si="2"/>
        <v/>
      </c>
      <c r="U37" s="144">
        <v>117527</v>
      </c>
      <c r="V37" s="144">
        <v>-235398</v>
      </c>
      <c r="W37" s="143">
        <v>287.27</v>
      </c>
    </row>
    <row r="38" spans="2:23">
      <c r="B38" s="106"/>
      <c r="C38" s="105" t="s">
        <v>192</v>
      </c>
      <c r="D38" s="103" t="s">
        <v>122</v>
      </c>
      <c r="E38" s="109">
        <v>0.1423059102718657</v>
      </c>
      <c r="I38" s="106"/>
      <c r="J38" s="105" t="s">
        <v>192</v>
      </c>
      <c r="K38" s="103" t="s">
        <v>122</v>
      </c>
      <c r="L38" s="109">
        <v>0.1423059102718657</v>
      </c>
      <c r="M38" s="109">
        <v>0.1423059102718657</v>
      </c>
      <c r="N38" s="109">
        <v>0.1423059102718657</v>
      </c>
      <c r="O38" s="109">
        <v>0.1423059102718657</v>
      </c>
      <c r="P38" t="str">
        <f t="shared" si="2"/>
        <v/>
      </c>
      <c r="U38" s="144">
        <v>2.1692199999999998E-2</v>
      </c>
      <c r="V38" s="144">
        <v>-220795</v>
      </c>
      <c r="W38" s="143">
        <v>6105160</v>
      </c>
    </row>
    <row r="39" spans="2:23" ht="15.6">
      <c r="B39" s="106">
        <f>B35+1</f>
        <v>27</v>
      </c>
      <c r="C39" s="105" t="s">
        <v>191</v>
      </c>
      <c r="D39" s="103" t="s">
        <v>127</v>
      </c>
      <c r="E39" s="108">
        <v>48.860015706266829</v>
      </c>
      <c r="I39" s="106">
        <f>I35+1</f>
        <v>27</v>
      </c>
      <c r="J39" s="105" t="s">
        <v>191</v>
      </c>
      <c r="K39" s="103" t="s">
        <v>127</v>
      </c>
      <c r="L39" s="108">
        <v>48.860015706266829</v>
      </c>
      <c r="M39" s="108">
        <v>48.860015706266829</v>
      </c>
      <c r="N39" s="108">
        <v>48.860015706266829</v>
      </c>
      <c r="O39" s="108">
        <v>48.860015706266829</v>
      </c>
      <c r="P39" t="str">
        <f t="shared" si="2"/>
        <v/>
      </c>
      <c r="U39" s="144">
        <v>11752.7</v>
      </c>
      <c r="V39" s="144">
        <v>-220795</v>
      </c>
      <c r="W39" s="143">
        <v>503946</v>
      </c>
    </row>
    <row r="40" spans="2:23" ht="15.6">
      <c r="B40" s="106"/>
      <c r="C40" s="105" t="s">
        <v>190</v>
      </c>
      <c r="D40" s="103" t="s">
        <v>273</v>
      </c>
      <c r="E40" s="107">
        <v>500</v>
      </c>
      <c r="I40" s="106"/>
      <c r="J40" s="105" t="s">
        <v>190</v>
      </c>
      <c r="K40" s="103" t="s">
        <v>273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2"/>
        <v/>
      </c>
      <c r="U40" s="144">
        <v>23505.4</v>
      </c>
      <c r="V40" s="144">
        <v>-220795</v>
      </c>
      <c r="W40" s="143">
        <v>313991</v>
      </c>
    </row>
    <row r="41" spans="2:23" ht="15.6">
      <c r="B41" s="106">
        <f>B39+1</f>
        <v>28</v>
      </c>
      <c r="C41" s="103" t="s">
        <v>189</v>
      </c>
      <c r="D41" s="103" t="s">
        <v>273</v>
      </c>
      <c r="E41" s="107">
        <v>33.30212829607494</v>
      </c>
      <c r="F41" t="s">
        <v>334</v>
      </c>
      <c r="I41" s="106">
        <f>I39+1</f>
        <v>28</v>
      </c>
      <c r="J41" s="103" t="s">
        <v>189</v>
      </c>
      <c r="K41" s="103" t="s">
        <v>273</v>
      </c>
      <c r="L41" s="107">
        <v>33.30212829607494</v>
      </c>
      <c r="M41" s="107">
        <v>33.30212829607494</v>
      </c>
      <c r="N41" s="107">
        <v>33.30212829607494</v>
      </c>
      <c r="O41" s="107">
        <v>33.30212829607494</v>
      </c>
      <c r="P41" t="str">
        <f t="shared" si="2"/>
        <v>Including 50% reduction, when re-tightening is assumed (only for tension tightening)</v>
      </c>
      <c r="U41" s="144">
        <v>35258</v>
      </c>
      <c r="V41" s="144">
        <v>-220795</v>
      </c>
      <c r="W41" s="143">
        <v>188669</v>
      </c>
    </row>
    <row r="42" spans="2:23" ht="15.6">
      <c r="B42" s="106">
        <f>B41+1</f>
        <v>29</v>
      </c>
      <c r="C42" s="103" t="s">
        <v>187</v>
      </c>
      <c r="D42" s="103" t="s">
        <v>127</v>
      </c>
      <c r="E42" s="111">
        <v>3323.2147772434732</v>
      </c>
      <c r="I42" s="106">
        <f>I41+1</f>
        <v>29</v>
      </c>
      <c r="J42" s="103" t="s">
        <v>187</v>
      </c>
      <c r="K42" s="103" t="s">
        <v>127</v>
      </c>
      <c r="L42" s="111">
        <v>3323.2147772434732</v>
      </c>
      <c r="M42" s="111">
        <v>3323.2147772434732</v>
      </c>
      <c r="N42" s="111">
        <v>3323.2147772434732</v>
      </c>
      <c r="O42" s="111">
        <v>3323.2147772434732</v>
      </c>
      <c r="P42" t="str">
        <f t="shared" si="2"/>
        <v/>
      </c>
      <c r="U42" s="144">
        <v>47010.7</v>
      </c>
      <c r="V42" s="144">
        <v>-220795</v>
      </c>
      <c r="W42" s="143">
        <v>98045.6</v>
      </c>
    </row>
    <row r="43" spans="2:23" ht="15.6">
      <c r="B43" s="106">
        <f>B42+1</f>
        <v>30</v>
      </c>
      <c r="C43" s="103" t="s">
        <v>186</v>
      </c>
      <c r="D43" s="103" t="s">
        <v>182</v>
      </c>
      <c r="E43" s="107">
        <f>MAX(E44,ABS(E45))</f>
        <v>314.32350000000002</v>
      </c>
      <c r="F43" t="s">
        <v>185</v>
      </c>
      <c r="I43" s="106">
        <f>I42+1</f>
        <v>30</v>
      </c>
      <c r="J43" s="103" t="s">
        <v>186</v>
      </c>
      <c r="K43" s="103" t="s">
        <v>182</v>
      </c>
      <c r="L43" s="107">
        <v>314.32350000000002</v>
      </c>
      <c r="M43" s="107">
        <v>314.32350000000002</v>
      </c>
      <c r="N43" s="107">
        <v>314.32350000000002</v>
      </c>
      <c r="O43" s="107">
        <v>314.32350000000002</v>
      </c>
      <c r="P43" t="str">
        <f t="shared" si="2"/>
        <v>Note: S1 loads not included here, only FLS loads</v>
      </c>
      <c r="U43" s="144">
        <v>58763.4</v>
      </c>
      <c r="V43" s="144">
        <v>-220795</v>
      </c>
      <c r="W43" s="143">
        <v>38534.5</v>
      </c>
    </row>
    <row r="44" spans="2:23" ht="15.6">
      <c r="B44" s="106">
        <f>B43+1</f>
        <v>31</v>
      </c>
      <c r="C44" s="103" t="s">
        <v>184</v>
      </c>
      <c r="D44" s="103" t="s">
        <v>182</v>
      </c>
      <c r="E44" s="107">
        <v>314.32350000000002</v>
      </c>
      <c r="I44" s="106">
        <f>I43+1</f>
        <v>31</v>
      </c>
      <c r="J44" s="103" t="s">
        <v>184</v>
      </c>
      <c r="K44" s="103" t="s">
        <v>182</v>
      </c>
      <c r="L44" s="107">
        <v>314.32350000000002</v>
      </c>
      <c r="M44" s="107">
        <v>314.32350000000002</v>
      </c>
      <c r="N44" s="107">
        <v>314.32350000000002</v>
      </c>
      <c r="O44" s="107">
        <v>314.32350000000002</v>
      </c>
      <c r="P44" t="str">
        <f t="shared" si="2"/>
        <v/>
      </c>
      <c r="U44" s="144">
        <v>70516</v>
      </c>
      <c r="V44" s="144">
        <v>-220795</v>
      </c>
      <c r="W44" s="143">
        <v>20935.099999999999</v>
      </c>
    </row>
    <row r="45" spans="2:23" ht="15.6">
      <c r="B45" s="106">
        <f>B44+1</f>
        <v>32</v>
      </c>
      <c r="C45" s="103" t="s">
        <v>183</v>
      </c>
      <c r="D45" s="103" t="s">
        <v>182</v>
      </c>
      <c r="E45" s="107">
        <v>-294.16150000000005</v>
      </c>
      <c r="I45" s="106">
        <f>I44+1</f>
        <v>32</v>
      </c>
      <c r="J45" s="103" t="s">
        <v>183</v>
      </c>
      <c r="K45" s="103" t="s">
        <v>182</v>
      </c>
      <c r="L45" s="107">
        <v>-294.16150000000005</v>
      </c>
      <c r="M45" s="107">
        <v>-294.16150000000005</v>
      </c>
      <c r="N45" s="107">
        <v>-294.16150000000005</v>
      </c>
      <c r="O45" s="107">
        <v>-294.16150000000005</v>
      </c>
      <c r="P45" t="str">
        <f t="shared" si="2"/>
        <v/>
      </c>
      <c r="U45" s="144">
        <v>82268.7</v>
      </c>
      <c r="V45" s="144">
        <v>-220795</v>
      </c>
      <c r="W45" s="143">
        <v>10236.200000000001</v>
      </c>
    </row>
    <row r="46" spans="2:23" ht="15.6">
      <c r="B46" s="106"/>
      <c r="C46" s="103" t="s">
        <v>181</v>
      </c>
      <c r="D46" s="103" t="s">
        <v>127</v>
      </c>
      <c r="E46" s="111">
        <v>1287.1661307088773</v>
      </c>
      <c r="I46" s="106"/>
      <c r="J46" s="103" t="s">
        <v>181</v>
      </c>
      <c r="K46" s="103" t="s">
        <v>127</v>
      </c>
      <c r="L46" s="111">
        <v>1287.1661307088773</v>
      </c>
      <c r="M46" s="111">
        <v>1287.1661307088773</v>
      </c>
      <c r="N46" s="111">
        <v>1287.1661307088773</v>
      </c>
      <c r="O46" s="111">
        <v>1287.1661307088773</v>
      </c>
      <c r="P46" t="str">
        <f t="shared" si="2"/>
        <v/>
      </c>
      <c r="U46" s="144">
        <v>94021.4</v>
      </c>
      <c r="V46" s="144">
        <v>-220795</v>
      </c>
      <c r="W46" s="143">
        <v>8208.9699999999993</v>
      </c>
    </row>
    <row r="47" spans="2:23" ht="15.6">
      <c r="B47" s="106">
        <f>B45+1</f>
        <v>33</v>
      </c>
      <c r="C47" s="103" t="s">
        <v>180</v>
      </c>
      <c r="D47" s="103" t="s">
        <v>122</v>
      </c>
      <c r="E47" s="104"/>
      <c r="F47" t="s">
        <v>306</v>
      </c>
      <c r="I47" s="106">
        <f>I45+1</f>
        <v>33</v>
      </c>
      <c r="J47" s="103" t="s">
        <v>180</v>
      </c>
      <c r="K47" s="103" t="s">
        <v>122</v>
      </c>
      <c r="L47" s="104"/>
      <c r="M47" s="104"/>
      <c r="N47" s="104"/>
      <c r="O47" s="104"/>
      <c r="P47" t="str">
        <f t="shared" si="2"/>
        <v>(valid in case L-Flange is calculated)</v>
      </c>
      <c r="U47" s="144">
        <v>105774</v>
      </c>
      <c r="V47" s="144">
        <v>-220795</v>
      </c>
      <c r="W47" s="143">
        <v>2014.42</v>
      </c>
    </row>
    <row r="48" spans="2:23" ht="15.6">
      <c r="B48" s="106"/>
      <c r="C48" s="105" t="s">
        <v>179</v>
      </c>
      <c r="D48" s="103" t="s">
        <v>178</v>
      </c>
      <c r="E48" s="110">
        <v>90</v>
      </c>
      <c r="I48" s="106"/>
      <c r="J48" s="105" t="s">
        <v>179</v>
      </c>
      <c r="K48" s="103" t="s">
        <v>178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2"/>
        <v/>
      </c>
      <c r="U48" s="144">
        <v>117527</v>
      </c>
      <c r="V48" s="144">
        <v>-220795</v>
      </c>
      <c r="W48" s="143">
        <v>2231.1799999999998</v>
      </c>
    </row>
    <row r="49" spans="2:23" ht="15.6">
      <c r="B49" s="106"/>
      <c r="C49" s="103" t="s">
        <v>177</v>
      </c>
      <c r="D49" s="103" t="s">
        <v>171</v>
      </c>
      <c r="E49" s="109">
        <v>5.8904862254808625</v>
      </c>
      <c r="F49" t="s">
        <v>319</v>
      </c>
      <c r="I49" s="106"/>
      <c r="J49" s="103" t="s">
        <v>177</v>
      </c>
      <c r="K49" s="103" t="s">
        <v>171</v>
      </c>
      <c r="L49" s="109">
        <v>1.9634954084936207</v>
      </c>
      <c r="M49" s="109">
        <v>3.9269908169872414</v>
      </c>
      <c r="N49" s="109">
        <v>5.8904862254808625</v>
      </c>
      <c r="O49" s="109">
        <v>7.8539816339744828</v>
      </c>
      <c r="P49" t="str">
        <f t="shared" si="2"/>
        <v>Gap length measured on outside diameter</v>
      </c>
      <c r="U49" s="144">
        <v>129279</v>
      </c>
      <c r="V49" s="144">
        <v>-220795</v>
      </c>
      <c r="W49" s="143">
        <v>234.77</v>
      </c>
    </row>
    <row r="50" spans="2:23">
      <c r="B50" s="106"/>
      <c r="C50" s="103" t="s">
        <v>92</v>
      </c>
      <c r="D50" s="103" t="s">
        <v>171</v>
      </c>
      <c r="E50" s="109">
        <v>7.5</v>
      </c>
      <c r="I50" s="106"/>
      <c r="J50" s="103" t="s">
        <v>92</v>
      </c>
      <c r="K50" s="103" t="s">
        <v>171</v>
      </c>
      <c r="L50" s="109">
        <v>7.5</v>
      </c>
      <c r="M50" s="109">
        <v>7.5</v>
      </c>
      <c r="N50" s="109">
        <v>7.5</v>
      </c>
      <c r="O50" s="109">
        <v>7.5</v>
      </c>
      <c r="P50" t="str">
        <f t="shared" si="2"/>
        <v/>
      </c>
      <c r="U50" s="144">
        <v>141032</v>
      </c>
      <c r="V50" s="144">
        <v>-220795</v>
      </c>
      <c r="W50" s="143">
        <v>435.03500000000003</v>
      </c>
    </row>
    <row r="51" spans="2:23" ht="15.6">
      <c r="B51" s="106"/>
      <c r="C51" s="103" t="s">
        <v>176</v>
      </c>
      <c r="D51" s="103" t="s">
        <v>175</v>
      </c>
      <c r="E51" s="108">
        <v>1.4</v>
      </c>
      <c r="I51" s="106"/>
      <c r="J51" s="103" t="s">
        <v>176</v>
      </c>
      <c r="K51" s="103" t="s">
        <v>175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2"/>
        <v/>
      </c>
      <c r="U51" s="144">
        <v>2.1692199999999998E-2</v>
      </c>
      <c r="V51" s="144">
        <v>-206193</v>
      </c>
      <c r="W51" s="143">
        <v>8641950</v>
      </c>
    </row>
    <row r="52" spans="2:23" ht="15.6">
      <c r="B52" s="106">
        <f>B47+1</f>
        <v>34</v>
      </c>
      <c r="C52" s="103" t="s">
        <v>174</v>
      </c>
      <c r="D52" s="103" t="s">
        <v>125</v>
      </c>
      <c r="E52" s="109">
        <v>1.3643968401892383</v>
      </c>
      <c r="I52" s="106">
        <f>I47+1</f>
        <v>34</v>
      </c>
      <c r="J52" s="103" t="s">
        <v>174</v>
      </c>
      <c r="K52" s="103" t="s">
        <v>125</v>
      </c>
      <c r="L52" s="109">
        <v>0.28773533056547307</v>
      </c>
      <c r="M52" s="109">
        <v>0.74253427729521915</v>
      </c>
      <c r="N52" s="109">
        <v>1.3643968401892383</v>
      </c>
      <c r="O52" s="109">
        <v>2.1533230192475301</v>
      </c>
      <c r="P52" t="str">
        <f t="shared" si="2"/>
        <v/>
      </c>
      <c r="U52" s="144">
        <v>11752.7</v>
      </c>
      <c r="V52" s="144">
        <v>-206193</v>
      </c>
      <c r="W52" s="143">
        <v>766283</v>
      </c>
    </row>
    <row r="53" spans="2:23" ht="15.6">
      <c r="B53" s="106">
        <f>B52+1</f>
        <v>35</v>
      </c>
      <c r="C53" s="103" t="s">
        <v>173</v>
      </c>
      <c r="D53" s="103" t="s">
        <v>122</v>
      </c>
      <c r="E53" s="109">
        <f>0.35+200*E48^-1.6</f>
        <v>0.4993626397773579</v>
      </c>
      <c r="I53" s="106">
        <f>I52+1</f>
        <v>35</v>
      </c>
      <c r="J53" s="103" t="s">
        <v>173</v>
      </c>
      <c r="K53" s="103" t="s">
        <v>122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2"/>
        <v/>
      </c>
      <c r="U53" s="144">
        <v>23505.4</v>
      </c>
      <c r="V53" s="144">
        <v>-206193</v>
      </c>
      <c r="W53" s="143">
        <v>465255</v>
      </c>
    </row>
    <row r="54" spans="2:23" ht="15.6">
      <c r="B54" s="106"/>
      <c r="C54" s="103" t="s">
        <v>172</v>
      </c>
      <c r="D54" s="103" t="s">
        <v>171</v>
      </c>
      <c r="E54" s="109">
        <f>PI()*E50/12</f>
        <v>1.9634954084936205</v>
      </c>
      <c r="I54" s="106"/>
      <c r="J54" s="103" t="s">
        <v>172</v>
      </c>
      <c r="K54" s="103" t="s">
        <v>171</v>
      </c>
      <c r="L54" s="109">
        <v>1.9634954084936205</v>
      </c>
      <c r="M54" s="109">
        <v>1.9634954084936205</v>
      </c>
      <c r="N54" s="109">
        <v>1.9634954084936205</v>
      </c>
      <c r="O54" s="109">
        <v>1.9634954084936205</v>
      </c>
      <c r="P54" t="str">
        <f t="shared" si="2"/>
        <v/>
      </c>
      <c r="U54" s="144">
        <v>35258</v>
      </c>
      <c r="V54" s="144">
        <v>-206193</v>
      </c>
      <c r="W54" s="143">
        <v>279378</v>
      </c>
    </row>
    <row r="55" spans="2:23" ht="15.6">
      <c r="B55" s="106">
        <f>B53+1</f>
        <v>36</v>
      </c>
      <c r="C55" s="103" t="s">
        <v>170</v>
      </c>
      <c r="D55" s="103" t="s">
        <v>125</v>
      </c>
      <c r="E55" s="109">
        <f>SQRT(E54)*E51</f>
        <v>1.9617469257392748</v>
      </c>
      <c r="I55" s="106">
        <f>I53+1</f>
        <v>36</v>
      </c>
      <c r="J55" s="103" t="s">
        <v>170</v>
      </c>
      <c r="K55" s="103" t="s">
        <v>125</v>
      </c>
      <c r="L55" s="109">
        <v>1.9617469257392748</v>
      </c>
      <c r="M55" s="109">
        <v>1.9617469257392748</v>
      </c>
      <c r="N55" s="109">
        <v>1.9617469257392748</v>
      </c>
      <c r="O55" s="109">
        <v>1.9617469257392748</v>
      </c>
      <c r="P55" t="str">
        <f t="shared" si="2"/>
        <v/>
      </c>
      <c r="U55" s="144">
        <v>47010.7</v>
      </c>
      <c r="V55" s="144">
        <v>-206193</v>
      </c>
      <c r="W55" s="143">
        <v>121399</v>
      </c>
    </row>
    <row r="56" spans="2:23" ht="15.6">
      <c r="B56" s="106">
        <f>B55+1</f>
        <v>37</v>
      </c>
      <c r="C56" s="103" t="s">
        <v>169</v>
      </c>
      <c r="D56" s="103" t="s">
        <v>125</v>
      </c>
      <c r="E56" s="109">
        <f>1.5*E55</f>
        <v>2.942620388608912</v>
      </c>
      <c r="I56" s="106">
        <f>I55+1</f>
        <v>37</v>
      </c>
      <c r="J56" s="103" t="s">
        <v>169</v>
      </c>
      <c r="K56" s="103" t="s">
        <v>125</v>
      </c>
      <c r="L56" s="109">
        <v>2.942620388608912</v>
      </c>
      <c r="M56" s="109">
        <v>2.942620388608912</v>
      </c>
      <c r="N56" s="109">
        <v>2.942620388608912</v>
      </c>
      <c r="O56" s="109">
        <v>2.942620388608912</v>
      </c>
      <c r="P56" t="str">
        <f t="shared" si="2"/>
        <v/>
      </c>
      <c r="U56" s="144">
        <v>58763.4</v>
      </c>
      <c r="V56" s="144">
        <v>-206193</v>
      </c>
      <c r="W56" s="143">
        <v>43339.8</v>
      </c>
    </row>
    <row r="57" spans="2:23" ht="15.6">
      <c r="B57" s="106">
        <f>B56+1</f>
        <v>38</v>
      </c>
      <c r="C57" s="105" t="s">
        <v>168</v>
      </c>
      <c r="D57" s="103"/>
      <c r="E57" s="109">
        <f>SQRT(LN(E53^2+1))</f>
        <v>0.47184092472685457</v>
      </c>
      <c r="I57" s="106">
        <f>I56+1</f>
        <v>38</v>
      </c>
      <c r="J57" s="105" t="s">
        <v>168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2"/>
        <v/>
      </c>
      <c r="U57" s="144">
        <v>70516</v>
      </c>
      <c r="V57" s="144">
        <v>-206193</v>
      </c>
      <c r="W57" s="143">
        <v>21144.7</v>
      </c>
    </row>
    <row r="58" spans="2:23" ht="15.6">
      <c r="B58" s="106">
        <f>B57+1</f>
        <v>39</v>
      </c>
      <c r="C58" s="105" t="s">
        <v>167</v>
      </c>
      <c r="D58" s="103"/>
      <c r="E58" s="109">
        <f>LN(E52)-0.5*E57^2</f>
        <v>0.19939552653846943</v>
      </c>
      <c r="I58" s="106">
        <f>I57+1</f>
        <v>39</v>
      </c>
      <c r="J58" s="105" t="s">
        <v>167</v>
      </c>
      <c r="K58" s="103"/>
      <c r="L58" s="109">
        <v>-1.6996879926957522</v>
      </c>
      <c r="M58" s="109">
        <v>-0.46741282911895099</v>
      </c>
      <c r="N58" s="109">
        <v>0.19939552653846943</v>
      </c>
      <c r="O58" s="109">
        <v>0.67694875947348121</v>
      </c>
      <c r="P58" t="str">
        <f t="shared" si="2"/>
        <v/>
      </c>
      <c r="U58" s="144">
        <v>82268.7</v>
      </c>
      <c r="V58" s="144">
        <v>-206193</v>
      </c>
      <c r="W58" s="143">
        <v>8388.2099999999991</v>
      </c>
    </row>
    <row r="59" spans="2:23" ht="15.6">
      <c r="B59" s="106">
        <f>B58+1</f>
        <v>40</v>
      </c>
      <c r="C59" s="103" t="s">
        <v>166</v>
      </c>
      <c r="D59" s="103"/>
      <c r="E59" s="109">
        <f>E58+1.6449*E57</f>
        <v>0.97552666362167262</v>
      </c>
      <c r="I59" s="106">
        <f>I58+1</f>
        <v>40</v>
      </c>
      <c r="J59" s="103" t="s">
        <v>166</v>
      </c>
      <c r="K59" s="103"/>
      <c r="L59" s="109">
        <v>-0.13232393428252798</v>
      </c>
      <c r="M59" s="109">
        <v>0.49094883784411425</v>
      </c>
      <c r="N59" s="109">
        <v>0.97552666362167262</v>
      </c>
      <c r="O59" s="109">
        <v>1.3750667981906362</v>
      </c>
      <c r="P59" t="str">
        <f t="shared" si="2"/>
        <v/>
      </c>
      <c r="U59" s="144">
        <v>94021.4</v>
      </c>
      <c r="V59" s="144">
        <v>-206193</v>
      </c>
      <c r="W59" s="143">
        <v>5720.34</v>
      </c>
    </row>
    <row r="60" spans="2:23" ht="15.6">
      <c r="B60" s="106">
        <f>B59+1</f>
        <v>41</v>
      </c>
      <c r="C60" s="103" t="s">
        <v>165</v>
      </c>
      <c r="D60" s="103" t="s">
        <v>125</v>
      </c>
      <c r="E60" s="109">
        <v>2.6525058127308667</v>
      </c>
      <c r="I60" s="106">
        <f>I59+1</f>
        <v>41</v>
      </c>
      <c r="J60" s="103" t="s">
        <v>165</v>
      </c>
      <c r="K60" s="103" t="s">
        <v>125</v>
      </c>
      <c r="L60" s="109">
        <v>0.87601845454409977</v>
      </c>
      <c r="M60" s="109">
        <v>1.6338216149415525</v>
      </c>
      <c r="N60" s="109">
        <v>2.6525058127308667</v>
      </c>
      <c r="O60" s="109">
        <v>3.9552630780086151</v>
      </c>
      <c r="P60" t="str">
        <f t="shared" si="2"/>
        <v/>
      </c>
      <c r="U60" s="144">
        <v>105774</v>
      </c>
      <c r="V60" s="144">
        <v>-206193</v>
      </c>
      <c r="W60" s="143">
        <v>8582.25</v>
      </c>
    </row>
    <row r="61" spans="2:23" ht="15.6">
      <c r="B61" s="106"/>
      <c r="C61" s="103" t="s">
        <v>164</v>
      </c>
      <c r="D61" s="103" t="s">
        <v>125</v>
      </c>
      <c r="E61" s="109">
        <v>2.6525058127308667</v>
      </c>
      <c r="F61" t="s">
        <v>163</v>
      </c>
      <c r="I61" s="106"/>
      <c r="J61" s="103" t="s">
        <v>164</v>
      </c>
      <c r="K61" s="103" t="s">
        <v>125</v>
      </c>
      <c r="L61" s="109">
        <v>0.87601845454409977</v>
      </c>
      <c r="M61" s="109">
        <v>1.6338216149415525</v>
      </c>
      <c r="N61" s="109">
        <v>2.6525058127308667</v>
      </c>
      <c r="O61" s="109">
        <v>3.9552630780086151</v>
      </c>
      <c r="P61" t="str">
        <f t="shared" si="2"/>
        <v>Gap value used for calculation</v>
      </c>
      <c r="U61" s="144">
        <v>117527</v>
      </c>
      <c r="V61" s="144">
        <v>-206193</v>
      </c>
      <c r="W61" s="143">
        <v>8754.9699999999993</v>
      </c>
    </row>
    <row r="62" spans="2:23">
      <c r="B62" s="106">
        <f>B60+1</f>
        <v>42</v>
      </c>
      <c r="C62" s="103" t="s">
        <v>162</v>
      </c>
      <c r="D62" s="103"/>
      <c r="E62" s="128"/>
      <c r="F62" t="s">
        <v>161</v>
      </c>
      <c r="I62" s="106">
        <f>I60+1</f>
        <v>42</v>
      </c>
      <c r="J62" s="103" t="s">
        <v>162</v>
      </c>
      <c r="K62" s="103"/>
      <c r="L62" s="128"/>
      <c r="M62" s="128"/>
      <c r="N62" s="128"/>
      <c r="O62" s="128"/>
      <c r="P62" t="str">
        <f t="shared" si="2"/>
        <v>Gap shape formula</v>
      </c>
      <c r="U62" s="144">
        <v>129279</v>
      </c>
      <c r="V62" s="144">
        <v>-206193</v>
      </c>
      <c r="W62" s="143">
        <v>1903.7</v>
      </c>
    </row>
    <row r="63" spans="2:23">
      <c r="B63" s="106">
        <f>B62+1</f>
        <v>43</v>
      </c>
      <c r="C63" s="112" t="s">
        <v>160</v>
      </c>
      <c r="D63" s="103"/>
      <c r="E63" s="128"/>
      <c r="F63" t="s">
        <v>159</v>
      </c>
      <c r="I63" s="106">
        <f>I62+1</f>
        <v>43</v>
      </c>
      <c r="J63" s="112" t="s">
        <v>160</v>
      </c>
      <c r="K63" s="103"/>
      <c r="L63" s="128"/>
      <c r="M63" s="128"/>
      <c r="N63" s="128"/>
      <c r="O63" s="128"/>
      <c r="P63" t="str">
        <f t="shared" si="2"/>
        <v>Stress range formula</v>
      </c>
      <c r="U63" s="144">
        <v>141032</v>
      </c>
      <c r="V63" s="144">
        <v>-206193</v>
      </c>
      <c r="W63" s="143">
        <v>1201.47</v>
      </c>
    </row>
    <row r="64" spans="2:23" ht="15.6">
      <c r="B64" s="106">
        <f>B63+1</f>
        <v>44</v>
      </c>
      <c r="C64" s="103" t="s">
        <v>158</v>
      </c>
      <c r="D64" s="103"/>
      <c r="E64" s="104"/>
      <c r="I64" s="106">
        <f>I63+1</f>
        <v>44</v>
      </c>
      <c r="J64" s="103" t="s">
        <v>158</v>
      </c>
      <c r="K64" s="103"/>
      <c r="L64" s="104"/>
      <c r="M64" s="104"/>
      <c r="N64" s="104"/>
      <c r="O64" s="104"/>
      <c r="P64" t="str">
        <f t="shared" si="2"/>
        <v/>
      </c>
      <c r="U64" s="144">
        <v>152785</v>
      </c>
      <c r="V64" s="144">
        <v>-206193</v>
      </c>
      <c r="W64" s="143">
        <v>24.06</v>
      </c>
    </row>
    <row r="65" spans="2:23" ht="15.6">
      <c r="B65" s="106">
        <f>B64+1</f>
        <v>45</v>
      </c>
      <c r="C65" s="103" t="s">
        <v>157</v>
      </c>
      <c r="D65" s="103"/>
      <c r="E65" s="104"/>
      <c r="I65" s="106">
        <f>I64+1</f>
        <v>45</v>
      </c>
      <c r="J65" s="103" t="s">
        <v>157</v>
      </c>
      <c r="K65" s="103"/>
      <c r="L65" s="104"/>
      <c r="M65" s="104"/>
      <c r="N65" s="104"/>
      <c r="O65" s="104"/>
      <c r="P65" t="str">
        <f t="shared" si="2"/>
        <v/>
      </c>
      <c r="U65" s="144">
        <v>164537</v>
      </c>
      <c r="V65" s="144">
        <v>-206193</v>
      </c>
      <c r="W65" s="143">
        <v>20.524999999999999</v>
      </c>
    </row>
    <row r="66" spans="2:23" ht="15.6">
      <c r="B66" s="106">
        <f>B65+1</f>
        <v>46</v>
      </c>
      <c r="C66" s="103" t="s">
        <v>156</v>
      </c>
      <c r="D66" s="103"/>
      <c r="E66" s="128"/>
      <c r="F66" t="s">
        <v>155</v>
      </c>
      <c r="I66" s="106">
        <f>I65+1</f>
        <v>46</v>
      </c>
      <c r="J66" s="103" t="s">
        <v>156</v>
      </c>
      <c r="K66" s="103"/>
      <c r="L66" s="128"/>
      <c r="M66" s="128"/>
      <c r="N66" s="128"/>
      <c r="O66" s="128"/>
      <c r="P66" t="str">
        <f t="shared" si="2"/>
        <v>Summarized formula for bolt force curve</v>
      </c>
      <c r="U66" s="144">
        <v>2.1692199999999998E-2</v>
      </c>
      <c r="V66" s="144">
        <v>-191591</v>
      </c>
      <c r="W66" s="143">
        <v>10237400</v>
      </c>
    </row>
    <row r="67" spans="2:23" ht="15.6">
      <c r="B67" s="106"/>
      <c r="C67" s="103" t="s">
        <v>318</v>
      </c>
      <c r="D67" s="103" t="s">
        <v>127</v>
      </c>
      <c r="E67" s="109">
        <v>-123.29166666666667</v>
      </c>
      <c r="I67" s="106"/>
      <c r="J67" s="103" t="s">
        <v>318</v>
      </c>
      <c r="K67" s="103" t="s">
        <v>127</v>
      </c>
      <c r="L67" s="109">
        <v>-123.29166666666667</v>
      </c>
      <c r="M67" s="109">
        <v>-123.29166666666667</v>
      </c>
      <c r="N67" s="109">
        <v>-123.29166666666667</v>
      </c>
      <c r="O67" s="109">
        <v>-123.29166666666667</v>
      </c>
      <c r="U67" s="144">
        <v>11752.7</v>
      </c>
      <c r="V67" s="144">
        <v>-191591</v>
      </c>
      <c r="W67" s="143">
        <v>831773</v>
      </c>
    </row>
    <row r="68" spans="2:23" ht="15.6">
      <c r="B68" s="106"/>
      <c r="C68" s="103" t="s">
        <v>317</v>
      </c>
      <c r="D68" s="103" t="s">
        <v>127</v>
      </c>
      <c r="E68" s="109">
        <v>2800</v>
      </c>
      <c r="I68" s="106"/>
      <c r="J68" s="103" t="s">
        <v>317</v>
      </c>
      <c r="K68" s="103" t="s">
        <v>127</v>
      </c>
      <c r="L68" s="109">
        <v>2800</v>
      </c>
      <c r="M68" s="109">
        <v>2800</v>
      </c>
      <c r="N68" s="109">
        <v>2800</v>
      </c>
      <c r="O68" s="109">
        <v>2800</v>
      </c>
      <c r="U68" s="144">
        <v>23505.4</v>
      </c>
      <c r="V68" s="144">
        <v>-191591</v>
      </c>
      <c r="W68" s="143">
        <v>562096</v>
      </c>
    </row>
    <row r="69" spans="2:23" ht="15.6">
      <c r="B69" s="106"/>
      <c r="C69" s="103" t="s">
        <v>316</v>
      </c>
      <c r="D69" s="103" t="s">
        <v>127</v>
      </c>
      <c r="E69" s="109">
        <v>1538.0236675777603</v>
      </c>
      <c r="I69" s="106"/>
      <c r="J69" s="103" t="s">
        <v>316</v>
      </c>
      <c r="K69" s="103" t="s">
        <v>127</v>
      </c>
      <c r="L69" s="109">
        <v>2014.2804877190592</v>
      </c>
      <c r="M69" s="109">
        <v>1932.368180287707</v>
      </c>
      <c r="N69" s="109">
        <v>1705.3593629455404</v>
      </c>
      <c r="O69" s="109">
        <v>1646.656692362001</v>
      </c>
      <c r="U69" s="144">
        <v>35258</v>
      </c>
      <c r="V69" s="144">
        <v>-191591</v>
      </c>
      <c r="W69" s="143">
        <v>320654</v>
      </c>
    </row>
    <row r="70" spans="2:23" ht="15.6">
      <c r="B70" s="106"/>
      <c r="C70" s="103" t="s">
        <v>315</v>
      </c>
      <c r="D70" s="103" t="s">
        <v>127</v>
      </c>
      <c r="E70" s="109">
        <v>3500</v>
      </c>
      <c r="I70" s="106"/>
      <c r="J70" s="103" t="s">
        <v>315</v>
      </c>
      <c r="K70" s="103" t="s">
        <v>127</v>
      </c>
      <c r="L70" s="109">
        <v>3500</v>
      </c>
      <c r="M70" s="109">
        <v>3500</v>
      </c>
      <c r="N70" s="109">
        <v>3500</v>
      </c>
      <c r="O70" s="109">
        <v>3500</v>
      </c>
      <c r="U70" s="144">
        <v>47010.7</v>
      </c>
      <c r="V70" s="144">
        <v>-191591</v>
      </c>
      <c r="W70" s="143">
        <v>148915</v>
      </c>
    </row>
    <row r="71" spans="2:23" ht="15.6">
      <c r="B71" s="106"/>
      <c r="C71" s="103" t="s">
        <v>314</v>
      </c>
      <c r="D71" s="103" t="s">
        <v>127</v>
      </c>
      <c r="E71" s="109">
        <v>116.91912725921244</v>
      </c>
      <c r="I71" s="106"/>
      <c r="J71" s="103" t="s">
        <v>314</v>
      </c>
      <c r="K71" s="103" t="s">
        <v>127</v>
      </c>
      <c r="L71" s="109">
        <v>160.06150488736645</v>
      </c>
      <c r="M71" s="109">
        <v>128.60632818235209</v>
      </c>
      <c r="N71" s="109">
        <v>119.75200184037348</v>
      </c>
      <c r="O71" s="109">
        <v>112.94371496739814</v>
      </c>
      <c r="U71" s="144">
        <v>58763.4</v>
      </c>
      <c r="V71" s="144">
        <v>-191591</v>
      </c>
      <c r="W71" s="143">
        <v>60008.7</v>
      </c>
    </row>
    <row r="72" spans="2:23" ht="15.6">
      <c r="B72" s="106"/>
      <c r="C72" s="103" t="s">
        <v>313</v>
      </c>
      <c r="D72" s="103" t="s">
        <v>127</v>
      </c>
      <c r="E72" s="109">
        <v>2816.8335832950702</v>
      </c>
      <c r="I72" s="106"/>
      <c r="J72" s="103" t="s">
        <v>313</v>
      </c>
      <c r="K72" s="103" t="s">
        <v>127</v>
      </c>
      <c r="L72" s="109">
        <v>2817.3950678099318</v>
      </c>
      <c r="M72" s="109">
        <v>2812.8281257681774</v>
      </c>
      <c r="N72" s="109">
        <v>2814.3296122306815</v>
      </c>
      <c r="O72" s="109">
        <v>2813.1091201104095</v>
      </c>
      <c r="U72" s="144">
        <v>70516</v>
      </c>
      <c r="V72" s="144">
        <v>-191591</v>
      </c>
      <c r="W72" s="143">
        <v>27871.5</v>
      </c>
    </row>
    <row r="73" spans="2:23" ht="15.6">
      <c r="B73" s="106"/>
      <c r="C73" s="103" t="s">
        <v>312</v>
      </c>
      <c r="D73" s="103"/>
      <c r="E73" s="110">
        <v>567114327.41726518</v>
      </c>
      <c r="I73" s="106"/>
      <c r="J73" s="103" t="s">
        <v>312</v>
      </c>
      <c r="K73" s="103"/>
      <c r="L73" s="110">
        <v>1123077907.9738083</v>
      </c>
      <c r="M73" s="110">
        <v>934017817.81359959</v>
      </c>
      <c r="N73" s="110">
        <v>704710593.4474597</v>
      </c>
      <c r="O73" s="110">
        <v>641282858.42573857</v>
      </c>
      <c r="U73" s="144">
        <v>82268.7</v>
      </c>
      <c r="V73" s="144">
        <v>-191591</v>
      </c>
      <c r="W73" s="143">
        <v>15172.4</v>
      </c>
    </row>
    <row r="74" spans="2:23" ht="15.6">
      <c r="B74" s="106"/>
      <c r="C74" s="103" t="s">
        <v>311</v>
      </c>
      <c r="D74" s="103"/>
      <c r="E74" s="111">
        <v>140181.66568973445</v>
      </c>
      <c r="I74" s="106"/>
      <c r="J74" s="103" t="s">
        <v>311</v>
      </c>
      <c r="K74" s="103"/>
      <c r="L74" s="111">
        <v>161164.00751366149</v>
      </c>
      <c r="M74" s="111">
        <v>149958.33334099007</v>
      </c>
      <c r="N74" s="111">
        <v>143926.70779534869</v>
      </c>
      <c r="O74" s="111">
        <v>142162.30151611631</v>
      </c>
      <c r="U74" s="144">
        <v>94021.4</v>
      </c>
      <c r="V74" s="144">
        <v>-191591</v>
      </c>
      <c r="W74" s="143">
        <v>10481.9</v>
      </c>
    </row>
    <row r="75" spans="2:23" ht="15.6">
      <c r="B75" s="106"/>
      <c r="C75" s="103" t="s">
        <v>310</v>
      </c>
      <c r="D75" s="103"/>
      <c r="E75" s="111">
        <v>40635766.52482488</v>
      </c>
      <c r="I75" s="106"/>
      <c r="J75" s="103" t="s">
        <v>310</v>
      </c>
      <c r="K75" s="103"/>
      <c r="L75" s="111">
        <v>63019844.114399709</v>
      </c>
      <c r="M75" s="111">
        <v>46768696.742403701</v>
      </c>
      <c r="N75" s="111">
        <v>42058485.863546893</v>
      </c>
      <c r="O75" s="111">
        <v>37057011.270345934</v>
      </c>
      <c r="U75" s="144">
        <v>105774</v>
      </c>
      <c r="V75" s="144">
        <v>-191591</v>
      </c>
      <c r="W75" s="143">
        <v>5712.67</v>
      </c>
    </row>
    <row r="76" spans="2:23" ht="15.6">
      <c r="B76" s="106"/>
      <c r="C76" s="105" t="s">
        <v>309</v>
      </c>
      <c r="D76" s="103"/>
      <c r="E76" s="136">
        <v>2.4718413715298912E-4</v>
      </c>
      <c r="I76" s="106"/>
      <c r="J76" s="105" t="s">
        <v>309</v>
      </c>
      <c r="K76" s="103"/>
      <c r="L76" s="136">
        <v>1.4350207262506321E-4</v>
      </c>
      <c r="M76" s="136">
        <v>1.6055189791991422E-4</v>
      </c>
      <c r="N76" s="136">
        <v>2.0423519829786591E-4</v>
      </c>
      <c r="O76" s="136">
        <v>2.2168423753771502E-4</v>
      </c>
      <c r="U76" s="144">
        <v>117527</v>
      </c>
      <c r="V76" s="144">
        <v>-191591</v>
      </c>
      <c r="W76" s="143">
        <v>3719.07</v>
      </c>
    </row>
    <row r="77" spans="2:23" ht="15.6">
      <c r="B77" s="106"/>
      <c r="C77" s="105" t="s">
        <v>308</v>
      </c>
      <c r="D77" s="103"/>
      <c r="E77" s="136">
        <v>7.1653570647539536E-2</v>
      </c>
      <c r="I77" s="106"/>
      <c r="J77" s="105" t="s">
        <v>308</v>
      </c>
      <c r="K77" s="103"/>
      <c r="L77" s="136">
        <v>5.6113510618418662E-2</v>
      </c>
      <c r="M77" s="136">
        <v>5.0072595886749192E-2</v>
      </c>
      <c r="N77" s="136">
        <v>5.9681926530713629E-2</v>
      </c>
      <c r="O77" s="136">
        <v>5.7785750520941433E-2</v>
      </c>
      <c r="U77" s="144">
        <v>129279</v>
      </c>
      <c r="V77" s="144">
        <v>-191591</v>
      </c>
      <c r="W77" s="143">
        <v>1780.09</v>
      </c>
    </row>
    <row r="78" spans="2:23" ht="14.4">
      <c r="B78" s="106"/>
      <c r="C78" s="112" t="s">
        <v>307</v>
      </c>
      <c r="D78" s="103"/>
      <c r="E78" s="108">
        <v>2805.0768828471073</v>
      </c>
      <c r="I78" s="106"/>
      <c r="J78" s="112" t="s">
        <v>307</v>
      </c>
      <c r="K78" s="103"/>
      <c r="L78" s="108">
        <v>2804.7369769085653</v>
      </c>
      <c r="M78" s="108">
        <v>2803.7330108808369</v>
      </c>
      <c r="N78" s="108">
        <v>2804.2537386271479</v>
      </c>
      <c r="O78" s="108">
        <v>2803.7547159590049</v>
      </c>
      <c r="U78" s="144">
        <v>141032</v>
      </c>
      <c r="V78" s="144">
        <v>-191591</v>
      </c>
      <c r="W78" s="143">
        <v>1860.73</v>
      </c>
    </row>
    <row r="79" spans="2:23" ht="15.6">
      <c r="B79" s="106">
        <f>B66+1</f>
        <v>47</v>
      </c>
      <c r="C79" s="105" t="s">
        <v>154</v>
      </c>
      <c r="D79" s="103" t="s">
        <v>127</v>
      </c>
      <c r="E79" s="107">
        <v>689.42837161335797</v>
      </c>
      <c r="I79" s="106">
        <f>I66+1</f>
        <v>47</v>
      </c>
      <c r="J79" s="105" t="s">
        <v>154</v>
      </c>
      <c r="K79" s="103" t="s">
        <v>127</v>
      </c>
      <c r="L79" s="107">
        <v>833.86655765976786</v>
      </c>
      <c r="M79" s="107">
        <v>730.92032585106267</v>
      </c>
      <c r="N79" s="107">
        <v>809.94992119867698</v>
      </c>
      <c r="O79" s="107">
        <v>775.83945106316787</v>
      </c>
      <c r="P79" t="str">
        <f t="shared" ref="P79:P84" si="3">IF(F79&lt;&gt;"",F79,"")</f>
        <v/>
      </c>
      <c r="U79" s="144">
        <v>152785</v>
      </c>
      <c r="V79" s="144">
        <v>-191591</v>
      </c>
      <c r="W79" s="143">
        <v>70.135000000000005</v>
      </c>
    </row>
    <row r="80" spans="2:23" ht="15.6">
      <c r="B80" s="106"/>
      <c r="C80" s="103" t="s">
        <v>143</v>
      </c>
      <c r="D80" s="103" t="s">
        <v>142</v>
      </c>
      <c r="E80" s="111">
        <v>38818.827824694483</v>
      </c>
      <c r="I80" s="106"/>
      <c r="J80" s="103" t="s">
        <v>143</v>
      </c>
      <c r="K80" s="103" t="s">
        <v>142</v>
      </c>
      <c r="L80" s="111">
        <v>38818.827824694483</v>
      </c>
      <c r="M80" s="111">
        <v>38818.827824694483</v>
      </c>
      <c r="N80" s="111">
        <v>38818.827824694483</v>
      </c>
      <c r="O80" s="111">
        <v>38818.827824694483</v>
      </c>
      <c r="P80" t="str">
        <f t="shared" si="3"/>
        <v/>
      </c>
      <c r="U80" s="144">
        <v>164537</v>
      </c>
      <c r="V80" s="144">
        <v>-191591</v>
      </c>
      <c r="W80" s="143">
        <v>5.3</v>
      </c>
    </row>
    <row r="81" spans="2:23" ht="16.8">
      <c r="B81" s="106"/>
      <c r="C81" s="103" t="s">
        <v>141</v>
      </c>
      <c r="D81" s="103" t="s">
        <v>272</v>
      </c>
      <c r="E81" s="114">
        <v>129396092.74898161</v>
      </c>
      <c r="I81" s="106"/>
      <c r="J81" s="103" t="s">
        <v>141</v>
      </c>
      <c r="K81" s="103" t="s">
        <v>272</v>
      </c>
      <c r="L81" s="135">
        <v>129396092.74898161</v>
      </c>
      <c r="M81" s="135">
        <v>129396092.74898161</v>
      </c>
      <c r="N81" s="135">
        <v>129396092.74898161</v>
      </c>
      <c r="O81" s="135">
        <v>129396092.74898161</v>
      </c>
      <c r="P81" t="str">
        <f t="shared" si="3"/>
        <v/>
      </c>
      <c r="U81" s="144">
        <v>176290</v>
      </c>
      <c r="V81" s="144">
        <v>-191591</v>
      </c>
      <c r="W81" s="143">
        <v>737.27499999999998</v>
      </c>
    </row>
    <row r="82" spans="2:23" ht="15.6">
      <c r="B82" s="106"/>
      <c r="C82" s="103" t="s">
        <v>147</v>
      </c>
      <c r="D82" s="103" t="s">
        <v>142</v>
      </c>
      <c r="E82" s="111">
        <v>86999.999999999971</v>
      </c>
      <c r="I82" s="106"/>
      <c r="J82" s="103" t="s">
        <v>147</v>
      </c>
      <c r="K82" s="103" t="s">
        <v>142</v>
      </c>
      <c r="L82" s="111">
        <v>86999.999999999971</v>
      </c>
      <c r="M82" s="111">
        <v>86999.999999999971</v>
      </c>
      <c r="N82" s="111">
        <v>86999.999999999971</v>
      </c>
      <c r="O82" s="111">
        <v>86999.999999999971</v>
      </c>
      <c r="P82" t="str">
        <f t="shared" si="3"/>
        <v/>
      </c>
      <c r="U82" s="144">
        <v>2.1692199999999998E-2</v>
      </c>
      <c r="V82" s="144">
        <v>-176988</v>
      </c>
      <c r="W82" s="143">
        <v>10528900</v>
      </c>
    </row>
    <row r="83" spans="2:23" ht="16.8">
      <c r="B83" s="106"/>
      <c r="C83" s="103" t="s">
        <v>146</v>
      </c>
      <c r="D83" s="103" t="s">
        <v>272</v>
      </c>
      <c r="E83" s="114">
        <v>289999999.99999994</v>
      </c>
      <c r="I83" s="106"/>
      <c r="J83" s="103" t="s">
        <v>146</v>
      </c>
      <c r="K83" s="103" t="s">
        <v>272</v>
      </c>
      <c r="L83" s="135">
        <v>289999999.99999994</v>
      </c>
      <c r="M83" s="135">
        <v>289999999.99999994</v>
      </c>
      <c r="N83" s="135">
        <v>289999999.99999994</v>
      </c>
      <c r="O83" s="135">
        <v>289999999.99999994</v>
      </c>
      <c r="P83" t="str">
        <f t="shared" si="3"/>
        <v/>
      </c>
      <c r="U83" s="144">
        <v>11752.7</v>
      </c>
      <c r="V83" s="144">
        <v>-176988</v>
      </c>
      <c r="W83" s="143">
        <v>850065</v>
      </c>
    </row>
    <row r="84" spans="2:23" ht="15.6">
      <c r="B84" s="106">
        <f>B79+1</f>
        <v>48</v>
      </c>
      <c r="C84" s="103" t="s">
        <v>153</v>
      </c>
      <c r="D84" s="103" t="s">
        <v>133</v>
      </c>
      <c r="E84" s="111">
        <v>2678.2454850162208</v>
      </c>
      <c r="I84" s="106">
        <f>I79+1</f>
        <v>48</v>
      </c>
      <c r="J84" s="103" t="s">
        <v>153</v>
      </c>
      <c r="K84" s="103" t="s">
        <v>133</v>
      </c>
      <c r="L84" s="111">
        <v>9808.4611337014285</v>
      </c>
      <c r="M84" s="111">
        <v>4609.8094713533437</v>
      </c>
      <c r="N84" s="111">
        <v>3146.4395851062341</v>
      </c>
      <c r="O84" s="111">
        <v>2021.2221939639421</v>
      </c>
      <c r="P84" t="str">
        <f t="shared" si="3"/>
        <v/>
      </c>
      <c r="U84" s="144">
        <v>23505.4</v>
      </c>
      <c r="V84" s="144">
        <v>-176988</v>
      </c>
      <c r="W84" s="143">
        <v>571948</v>
      </c>
    </row>
    <row r="85" spans="2:23" ht="15.6">
      <c r="B85" s="106"/>
      <c r="C85" s="103" t="s">
        <v>354</v>
      </c>
      <c r="D85" s="103" t="s">
        <v>122</v>
      </c>
      <c r="E85" s="108">
        <v>2.5</v>
      </c>
      <c r="I85" s="106"/>
      <c r="J85" s="103" t="s">
        <v>354</v>
      </c>
      <c r="K85" s="103" t="s">
        <v>122</v>
      </c>
      <c r="L85" s="108">
        <v>1.5</v>
      </c>
      <c r="M85" s="108">
        <v>2</v>
      </c>
      <c r="N85" s="108">
        <v>2.5</v>
      </c>
      <c r="O85" s="108">
        <v>2.5</v>
      </c>
      <c r="U85" s="144">
        <v>35258</v>
      </c>
      <c r="V85" s="144">
        <v>-176988</v>
      </c>
      <c r="W85" s="143">
        <v>317728</v>
      </c>
    </row>
    <row r="86" spans="2:23" ht="15.6">
      <c r="B86" s="106">
        <f>B84+1</f>
        <v>49</v>
      </c>
      <c r="C86" s="103" t="s">
        <v>150</v>
      </c>
      <c r="D86" s="103" t="s">
        <v>133</v>
      </c>
      <c r="E86" s="111">
        <v>1052.1040815198671</v>
      </c>
      <c r="F86" t="s">
        <v>152</v>
      </c>
      <c r="I86" s="106">
        <f>I84+1</f>
        <v>49</v>
      </c>
      <c r="J86" s="103" t="s">
        <v>150</v>
      </c>
      <c r="K86" s="103" t="s">
        <v>133</v>
      </c>
      <c r="L86" s="111">
        <v>4755.8743101826412</v>
      </c>
      <c r="M86" s="111">
        <v>1994.0356568620355</v>
      </c>
      <c r="N86" s="111">
        <v>1052.1040815198671</v>
      </c>
      <c r="O86" s="111">
        <v>592.43643599938059</v>
      </c>
      <c r="P86" t="str">
        <f t="shared" ref="P86:P100" si="4">IF(F86&lt;&gt;"",F86,"")</f>
        <v>Interpolated value</v>
      </c>
      <c r="U86" s="144">
        <v>47010.7</v>
      </c>
      <c r="V86" s="144">
        <v>-176988</v>
      </c>
      <c r="W86" s="143">
        <v>170502</v>
      </c>
    </row>
    <row r="87" spans="2:23" ht="15.6">
      <c r="B87" s="106"/>
      <c r="C87" s="103" t="s">
        <v>150</v>
      </c>
      <c r="D87" s="103" t="s">
        <v>133</v>
      </c>
      <c r="E87" s="111">
        <v>1239.3817215558724</v>
      </c>
      <c r="F87" t="s">
        <v>151</v>
      </c>
      <c r="I87" s="106"/>
      <c r="J87" s="103" t="s">
        <v>150</v>
      </c>
      <c r="K87" s="103" t="s">
        <v>133</v>
      </c>
      <c r="L87" s="111">
        <v>5118.8473830169332</v>
      </c>
      <c r="M87" s="111">
        <v>2209.1525376668401</v>
      </c>
      <c r="N87" s="111">
        <v>1239.3817215558724</v>
      </c>
      <c r="O87" s="111">
        <v>802.38409839730571</v>
      </c>
      <c r="P87" t="str">
        <f t="shared" si="4"/>
        <v>Simplified formula</v>
      </c>
      <c r="U87" s="144">
        <v>58763.4</v>
      </c>
      <c r="V87" s="144">
        <v>-176988</v>
      </c>
      <c r="W87" s="143">
        <v>69482.5</v>
      </c>
    </row>
    <row r="88" spans="2:23" ht="15.6">
      <c r="B88" s="106"/>
      <c r="C88" s="103" t="s">
        <v>150</v>
      </c>
      <c r="D88" s="103" t="s">
        <v>133</v>
      </c>
      <c r="E88" s="111">
        <v>1052.1040815198671</v>
      </c>
      <c r="F88" t="s">
        <v>149</v>
      </c>
      <c r="I88" s="106"/>
      <c r="J88" s="103" t="s">
        <v>150</v>
      </c>
      <c r="K88" s="103" t="s">
        <v>133</v>
      </c>
      <c r="L88" s="111">
        <v>5118.8473830169332</v>
      </c>
      <c r="M88" s="111">
        <v>2209.1525376668401</v>
      </c>
      <c r="N88" s="111">
        <v>1239.3817215558724</v>
      </c>
      <c r="O88" s="111">
        <v>802.38409839730571</v>
      </c>
      <c r="P88" t="str">
        <f t="shared" si="4"/>
        <v>Value used</v>
      </c>
      <c r="U88" s="144">
        <v>70516</v>
      </c>
      <c r="V88" s="144">
        <v>-176988</v>
      </c>
      <c r="W88" s="143">
        <v>39218.5</v>
      </c>
    </row>
    <row r="89" spans="2:23" ht="15.6">
      <c r="B89" s="106">
        <f>B86+1</f>
        <v>50</v>
      </c>
      <c r="C89" s="103" t="s">
        <v>148</v>
      </c>
      <c r="D89" s="103" t="s">
        <v>122</v>
      </c>
      <c r="E89" s="109">
        <v>2.4780972450961727</v>
      </c>
      <c r="I89" s="106">
        <f>I86+1</f>
        <v>50</v>
      </c>
      <c r="J89" s="103" t="s">
        <v>148</v>
      </c>
      <c r="K89" s="103" t="s">
        <v>122</v>
      </c>
      <c r="L89" s="109">
        <v>1.8</v>
      </c>
      <c r="M89" s="109">
        <v>2.0853981633974481</v>
      </c>
      <c r="N89" s="109">
        <v>2.4780972450961727</v>
      </c>
      <c r="O89" s="109">
        <v>2.8707963267948964</v>
      </c>
      <c r="P89" t="str">
        <f t="shared" si="4"/>
        <v/>
      </c>
      <c r="U89" s="144">
        <v>82268.7</v>
      </c>
      <c r="V89" s="144">
        <v>-176988</v>
      </c>
      <c r="W89" s="143">
        <v>24423.8</v>
      </c>
    </row>
    <row r="90" spans="2:23" ht="15.6">
      <c r="B90" s="106">
        <f>B89+1</f>
        <v>51</v>
      </c>
      <c r="C90" s="103" t="s">
        <v>145</v>
      </c>
      <c r="D90" s="103" t="s">
        <v>133</v>
      </c>
      <c r="E90" s="107">
        <v>19.194112486621194</v>
      </c>
      <c r="I90" s="106">
        <f>I89+1</f>
        <v>51</v>
      </c>
      <c r="J90" s="103" t="s">
        <v>145</v>
      </c>
      <c r="K90" s="103" t="s">
        <v>133</v>
      </c>
      <c r="L90" s="107">
        <v>1420.1267061173535</v>
      </c>
      <c r="M90" s="107">
        <v>95.752198009831744</v>
      </c>
      <c r="N90" s="107">
        <v>19.194112486621194</v>
      </c>
      <c r="O90" s="107">
        <v>6.1047791882710731</v>
      </c>
      <c r="P90" t="str">
        <f t="shared" si="4"/>
        <v/>
      </c>
      <c r="U90" s="144">
        <v>94021.4</v>
      </c>
      <c r="V90" s="144">
        <v>-176988</v>
      </c>
      <c r="W90" s="143">
        <v>9686.27</v>
      </c>
    </row>
    <row r="91" spans="2:23" ht="15.6">
      <c r="B91" s="106">
        <f>B90+1</f>
        <v>52</v>
      </c>
      <c r="C91" s="105" t="s">
        <v>144</v>
      </c>
      <c r="D91" s="103" t="s">
        <v>127</v>
      </c>
      <c r="E91" s="107">
        <v>569.99792927094325</v>
      </c>
      <c r="F91" t="s">
        <v>305</v>
      </c>
      <c r="I91" s="106">
        <f>I90+1</f>
        <v>52</v>
      </c>
      <c r="J91" s="105" t="s">
        <v>144</v>
      </c>
      <c r="K91" s="103" t="s">
        <v>127</v>
      </c>
      <c r="L91" s="107">
        <v>533.15766751275896</v>
      </c>
      <c r="M91" s="107">
        <v>554.8378699859818</v>
      </c>
      <c r="N91" s="107">
        <v>560.2476798725063</v>
      </c>
      <c r="O91" s="107">
        <v>561.82090609269903</v>
      </c>
      <c r="P91" t="str">
        <f t="shared" si="4"/>
        <v>(valid in case T-Flange is calculated)</v>
      </c>
      <c r="U91" s="144">
        <v>105774</v>
      </c>
      <c r="V91" s="144">
        <v>-176988</v>
      </c>
      <c r="W91" s="143">
        <v>6547.86</v>
      </c>
    </row>
    <row r="92" spans="2:23" ht="15.6">
      <c r="B92" s="106">
        <f>B91+1</f>
        <v>53</v>
      </c>
      <c r="C92" s="103" t="s">
        <v>140</v>
      </c>
      <c r="D92" s="103" t="s">
        <v>127</v>
      </c>
      <c r="E92" s="107">
        <v>262.74038581891148</v>
      </c>
      <c r="F92" t="s">
        <v>305</v>
      </c>
      <c r="I92" s="106">
        <f>I91+1</f>
        <v>53</v>
      </c>
      <c r="J92" s="103" t="s">
        <v>140</v>
      </c>
      <c r="K92" s="103" t="s">
        <v>127</v>
      </c>
      <c r="L92" s="107">
        <v>426.72924180380602</v>
      </c>
      <c r="M92" s="107">
        <v>330.22309794301071</v>
      </c>
      <c r="N92" s="107">
        <v>306.14214704721974</v>
      </c>
      <c r="O92" s="107">
        <v>299.13916835645261</v>
      </c>
      <c r="P92" t="str">
        <f t="shared" si="4"/>
        <v>(valid in case T-Flange is calculated)</v>
      </c>
      <c r="U92" s="144">
        <v>117527</v>
      </c>
      <c r="V92" s="144">
        <v>-176988</v>
      </c>
      <c r="W92" s="143">
        <v>4434.04</v>
      </c>
    </row>
    <row r="93" spans="2:23" ht="15.6">
      <c r="B93" s="106"/>
      <c r="C93" s="105" t="s">
        <v>139</v>
      </c>
      <c r="D93" s="103" t="s">
        <v>127</v>
      </c>
      <c r="E93" s="107">
        <v>0</v>
      </c>
      <c r="F93" t="s">
        <v>411</v>
      </c>
      <c r="I93" s="106"/>
      <c r="J93" s="105" t="s">
        <v>139</v>
      </c>
      <c r="K93" s="103" t="s">
        <v>127</v>
      </c>
      <c r="L93" s="108">
        <v>-229.91355321845737</v>
      </c>
      <c r="M93" s="108">
        <v>-229.91355321845737</v>
      </c>
      <c r="N93" s="108">
        <v>-229.91355321845737</v>
      </c>
      <c r="O93" s="108">
        <v>-229.91355321845737</v>
      </c>
      <c r="P93" t="str">
        <f t="shared" si="4"/>
        <v>Inclination used: 0.00deg</v>
      </c>
      <c r="U93" s="144">
        <v>129279</v>
      </c>
      <c r="V93" s="144">
        <v>-176988</v>
      </c>
      <c r="W93" s="143">
        <v>3111.5</v>
      </c>
    </row>
    <row r="94" spans="2:23" ht="15.6">
      <c r="B94" s="106">
        <f>B92+1</f>
        <v>54</v>
      </c>
      <c r="C94" s="105" t="s">
        <v>138</v>
      </c>
      <c r="D94" s="103" t="s">
        <v>127</v>
      </c>
      <c r="E94" s="107">
        <v>689.42837161335797</v>
      </c>
      <c r="I94" s="106">
        <f>I92+1</f>
        <v>54</v>
      </c>
      <c r="J94" s="105" t="s">
        <v>138</v>
      </c>
      <c r="K94" s="103" t="s">
        <v>127</v>
      </c>
      <c r="L94" s="107">
        <v>603.95300444131044</v>
      </c>
      <c r="M94" s="107">
        <v>501.0067726326053</v>
      </c>
      <c r="N94" s="107">
        <v>580.03636798021967</v>
      </c>
      <c r="O94" s="107">
        <v>545.92589784471056</v>
      </c>
      <c r="P94" t="str">
        <f t="shared" si="4"/>
        <v/>
      </c>
      <c r="U94" s="144">
        <v>141032</v>
      </c>
      <c r="V94" s="144">
        <v>-176988</v>
      </c>
      <c r="W94" s="143">
        <v>1434.64</v>
      </c>
    </row>
    <row r="95" spans="2:23" ht="15.6">
      <c r="B95" s="106">
        <f>B94+1</f>
        <v>55</v>
      </c>
      <c r="C95" s="103" t="s">
        <v>137</v>
      </c>
      <c r="D95" s="103" t="s">
        <v>127</v>
      </c>
      <c r="E95" s="107">
        <v>3500</v>
      </c>
      <c r="I95" s="106">
        <f>I94+1</f>
        <v>55</v>
      </c>
      <c r="J95" s="103" t="s">
        <v>137</v>
      </c>
      <c r="K95" s="103" t="s">
        <v>127</v>
      </c>
      <c r="L95" s="107">
        <v>3500</v>
      </c>
      <c r="M95" s="107">
        <v>3500</v>
      </c>
      <c r="N95" s="107">
        <v>3500</v>
      </c>
      <c r="O95" s="107">
        <v>3500</v>
      </c>
      <c r="P95" t="str">
        <f t="shared" si="4"/>
        <v/>
      </c>
      <c r="U95" s="144">
        <v>152785</v>
      </c>
      <c r="V95" s="144">
        <v>-176988</v>
      </c>
      <c r="W95" s="143">
        <v>2.6549999999999998</v>
      </c>
    </row>
    <row r="96" spans="2:23" ht="15.6">
      <c r="B96" s="106">
        <f>B95+1</f>
        <v>56</v>
      </c>
      <c r="C96" s="103" t="s">
        <v>136</v>
      </c>
      <c r="D96" s="103" t="s">
        <v>127</v>
      </c>
      <c r="E96" s="107">
        <v>2014.2804877190592</v>
      </c>
      <c r="F96" t="s">
        <v>306</v>
      </c>
      <c r="I96" s="106">
        <f>I95+1</f>
        <v>56</v>
      </c>
      <c r="J96" s="103" t="s">
        <v>136</v>
      </c>
      <c r="K96" s="103" t="s">
        <v>127</v>
      </c>
      <c r="L96" s="107">
        <v>2014.2804877190592</v>
      </c>
      <c r="M96" s="107">
        <v>2014.2804877190592</v>
      </c>
      <c r="N96" s="107">
        <v>2014.2804877190592</v>
      </c>
      <c r="O96" s="107">
        <v>2014.2804877190592</v>
      </c>
      <c r="P96" t="str">
        <f t="shared" si="4"/>
        <v>(valid in case L-Flange is calculated)</v>
      </c>
      <c r="U96" s="144">
        <v>164537</v>
      </c>
      <c r="V96" s="144">
        <v>-176988</v>
      </c>
      <c r="W96" s="143">
        <v>2.6549999999999998</v>
      </c>
    </row>
    <row r="97" spans="2:23" ht="15.6">
      <c r="B97" s="106">
        <f>B96+1</f>
        <v>57</v>
      </c>
      <c r="C97" s="103" t="s">
        <v>136</v>
      </c>
      <c r="D97" s="103" t="s">
        <v>127</v>
      </c>
      <c r="E97" s="107">
        <v>2014.2804877190592</v>
      </c>
      <c r="F97" t="s">
        <v>305</v>
      </c>
      <c r="I97" s="106">
        <f>I96+1</f>
        <v>57</v>
      </c>
      <c r="J97" s="103" t="s">
        <v>136</v>
      </c>
      <c r="K97" s="103" t="s">
        <v>127</v>
      </c>
      <c r="L97" s="108">
        <v>2014.2804877190592</v>
      </c>
      <c r="M97" s="108">
        <v>2014.2804877190592</v>
      </c>
      <c r="N97" s="108">
        <v>2014.2804877190592</v>
      </c>
      <c r="O97" s="108">
        <v>2014.2804877190592</v>
      </c>
      <c r="P97" t="str">
        <f t="shared" si="4"/>
        <v>(valid in case T-Flange is calculated)</v>
      </c>
      <c r="U97" s="144">
        <v>176290</v>
      </c>
      <c r="V97" s="144">
        <v>-176988</v>
      </c>
      <c r="W97" s="143">
        <v>13.18</v>
      </c>
    </row>
    <row r="98" spans="2:23" ht="15.6">
      <c r="B98" s="106">
        <f>B97+1</f>
        <v>58</v>
      </c>
      <c r="C98" s="105" t="s">
        <v>135</v>
      </c>
      <c r="D98" s="103" t="s">
        <v>122</v>
      </c>
      <c r="E98" s="109">
        <v>1.1609021481572299</v>
      </c>
      <c r="I98" s="106">
        <f>I97+1</f>
        <v>58</v>
      </c>
      <c r="J98" s="105" t="s">
        <v>135</v>
      </c>
      <c r="K98" s="103" t="s">
        <v>122</v>
      </c>
      <c r="L98" s="109">
        <v>1.5892672928447782</v>
      </c>
      <c r="M98" s="109">
        <v>1.2769455789941544</v>
      </c>
      <c r="N98" s="109">
        <v>1.1890300538628444</v>
      </c>
      <c r="O98" s="109">
        <v>1.12142986695258</v>
      </c>
      <c r="P98" t="str">
        <f t="shared" si="4"/>
        <v/>
      </c>
      <c r="U98" s="144">
        <v>188043</v>
      </c>
      <c r="V98" s="144">
        <v>-176988</v>
      </c>
      <c r="W98" s="143">
        <v>17.135000000000002</v>
      </c>
    </row>
    <row r="99" spans="2:23">
      <c r="B99" s="106"/>
      <c r="C99" s="105" t="s">
        <v>271</v>
      </c>
      <c r="D99" s="103" t="s">
        <v>125</v>
      </c>
      <c r="E99" s="107">
        <v>194.09413912347242</v>
      </c>
      <c r="I99" s="106"/>
      <c r="J99" s="105" t="s">
        <v>271</v>
      </c>
      <c r="K99" s="103" t="s">
        <v>125</v>
      </c>
      <c r="L99" s="107">
        <v>194.09413912347242</v>
      </c>
      <c r="M99" s="107">
        <v>194.09413912347242</v>
      </c>
      <c r="N99" s="107">
        <v>194.09413912347242</v>
      </c>
      <c r="O99" s="107">
        <v>194.09413912347242</v>
      </c>
      <c r="P99" t="str">
        <f t="shared" si="4"/>
        <v/>
      </c>
      <c r="U99" s="144">
        <v>2.1692199999999998E-2</v>
      </c>
      <c r="V99" s="144">
        <v>-162386</v>
      </c>
      <c r="W99" s="143">
        <v>11375700</v>
      </c>
    </row>
    <row r="100" spans="2:23" ht="15.6">
      <c r="B100" s="106">
        <f>B98+1</f>
        <v>59</v>
      </c>
      <c r="C100" s="103" t="s">
        <v>134</v>
      </c>
      <c r="D100" s="103" t="s">
        <v>133</v>
      </c>
      <c r="E100" s="107">
        <v>16645.181656612192</v>
      </c>
      <c r="I100" s="106">
        <f>I98+1</f>
        <v>59</v>
      </c>
      <c r="J100" s="103" t="s">
        <v>134</v>
      </c>
      <c r="K100" s="103" t="s">
        <v>133</v>
      </c>
      <c r="L100" s="107">
        <v>16645.181656612192</v>
      </c>
      <c r="M100" s="107">
        <v>16645.181656612192</v>
      </c>
      <c r="N100" s="107">
        <v>16645.181656612192</v>
      </c>
      <c r="O100" s="107">
        <v>16645.181656612192</v>
      </c>
      <c r="P100" t="str">
        <f t="shared" si="4"/>
        <v/>
      </c>
      <c r="U100" s="144">
        <v>11752.7</v>
      </c>
      <c r="V100" s="144">
        <v>-162386</v>
      </c>
      <c r="W100" s="143">
        <v>1056160</v>
      </c>
    </row>
    <row r="101" spans="2:23">
      <c r="B101" s="106"/>
      <c r="C101" s="103"/>
      <c r="D101" s="103"/>
      <c r="E101" s="111"/>
      <c r="I101" s="106"/>
      <c r="J101" s="103"/>
      <c r="K101" s="103"/>
      <c r="L101" s="111"/>
      <c r="M101" s="111"/>
      <c r="N101" s="111"/>
      <c r="O101" s="111"/>
      <c r="U101" s="144">
        <v>23505.4</v>
      </c>
      <c r="V101" s="144">
        <v>-162386</v>
      </c>
      <c r="W101" s="143">
        <v>551846</v>
      </c>
    </row>
    <row r="102" spans="2:23">
      <c r="B102" s="106">
        <f>B100+1</f>
        <v>60</v>
      </c>
      <c r="C102" s="103" t="s">
        <v>1</v>
      </c>
      <c r="D102" s="103" t="s">
        <v>125</v>
      </c>
      <c r="E102" s="109">
        <v>0.62347491540903066</v>
      </c>
      <c r="I102" s="106">
        <f>I101+1</f>
        <v>1</v>
      </c>
      <c r="J102" s="103" t="s">
        <v>1</v>
      </c>
      <c r="K102" s="103" t="s">
        <v>125</v>
      </c>
      <c r="L102" s="109">
        <v>0.62347491540903066</v>
      </c>
      <c r="M102" s="109">
        <v>0.62347491540903066</v>
      </c>
      <c r="N102" s="109">
        <v>0.62347491540903066</v>
      </c>
      <c r="O102" s="109">
        <v>0.62347491540903066</v>
      </c>
      <c r="P102" t="str">
        <f t="shared" ref="P102:P121" si="5">IF(F102&lt;&gt;"",F102,"")</f>
        <v/>
      </c>
      <c r="U102" s="144">
        <v>35258</v>
      </c>
      <c r="V102" s="144">
        <v>-162386</v>
      </c>
      <c r="W102" s="143">
        <v>328452</v>
      </c>
    </row>
    <row r="103" spans="2:23">
      <c r="B103" s="106">
        <f>B102+1</f>
        <v>61</v>
      </c>
      <c r="C103" s="103" t="s">
        <v>1</v>
      </c>
      <c r="D103" s="103" t="s">
        <v>125</v>
      </c>
      <c r="E103" s="109">
        <f>E102</f>
        <v>0.62347491540903066</v>
      </c>
      <c r="F103" t="s">
        <v>305</v>
      </c>
      <c r="I103" s="106">
        <f>I102+1</f>
        <v>2</v>
      </c>
      <c r="J103" s="103" t="s">
        <v>1</v>
      </c>
      <c r="K103" s="103" t="s">
        <v>125</v>
      </c>
      <c r="L103" s="109">
        <v>0.62347491540903066</v>
      </c>
      <c r="M103" s="109">
        <v>0.62347491540903066</v>
      </c>
      <c r="N103" s="109">
        <v>0.62347491540903066</v>
      </c>
      <c r="O103" s="109">
        <v>0.62347491540903066</v>
      </c>
      <c r="P103" t="str">
        <f t="shared" si="5"/>
        <v>(valid in case T-Flange is calculated)</v>
      </c>
      <c r="U103" s="144">
        <v>47010.7</v>
      </c>
      <c r="V103" s="144">
        <v>-162386</v>
      </c>
      <c r="W103" s="143">
        <v>198601</v>
      </c>
    </row>
    <row r="104" spans="2:23" ht="15.6">
      <c r="B104" s="106"/>
      <c r="C104" s="103" t="s">
        <v>132</v>
      </c>
      <c r="D104" s="103" t="s">
        <v>127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132</v>
      </c>
      <c r="K104" s="103" t="s">
        <v>127</v>
      </c>
      <c r="L104" s="110">
        <v>14795</v>
      </c>
      <c r="M104" s="110">
        <v>14795</v>
      </c>
      <c r="N104" s="110">
        <v>14795</v>
      </c>
      <c r="O104" s="110">
        <v>14795</v>
      </c>
      <c r="P104" t="str">
        <f t="shared" si="5"/>
        <v>Note that this includes a macro-geometric SCF=1.00</v>
      </c>
      <c r="U104" s="144">
        <v>58763.4</v>
      </c>
      <c r="V104" s="144">
        <v>-162386</v>
      </c>
      <c r="W104" s="143">
        <v>97020.1</v>
      </c>
    </row>
    <row r="105" spans="2:23" ht="15.6">
      <c r="B105" s="106">
        <f>B103+1</f>
        <v>62</v>
      </c>
      <c r="C105" s="105" t="s">
        <v>131</v>
      </c>
      <c r="D105" s="103" t="s">
        <v>127</v>
      </c>
      <c r="E105" s="109">
        <v>-123.29166666666667</v>
      </c>
      <c r="F105" t="str">
        <f>F104</f>
        <v>Note that this includes a macro-geometric SCF=1.00</v>
      </c>
      <c r="I105" s="106">
        <f>I103+1</f>
        <v>3</v>
      </c>
      <c r="J105" s="105" t="s">
        <v>131</v>
      </c>
      <c r="K105" s="103" t="s">
        <v>127</v>
      </c>
      <c r="L105" s="107">
        <v>-123.29166666666667</v>
      </c>
      <c r="M105" s="107">
        <v>-123.29166666666667</v>
      </c>
      <c r="N105" s="107">
        <v>-123.29166666666667</v>
      </c>
      <c r="O105" s="107">
        <v>-123.29166666666667</v>
      </c>
      <c r="P105" t="str">
        <f t="shared" si="5"/>
        <v>Note that this includes a macro-geometric SCF=1.00</v>
      </c>
      <c r="U105" s="144">
        <v>70516</v>
      </c>
      <c r="V105" s="144">
        <v>-162386</v>
      </c>
      <c r="W105" s="143">
        <v>61036.6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04"/>
      <c r="M106" s="104"/>
      <c r="N106" s="104"/>
      <c r="O106" s="104"/>
      <c r="P106" t="str">
        <f t="shared" si="5"/>
        <v/>
      </c>
      <c r="U106" s="144">
        <v>82268.7</v>
      </c>
      <c r="V106" s="144">
        <v>-162386</v>
      </c>
      <c r="W106" s="143">
        <v>21719.3</v>
      </c>
    </row>
    <row r="107" spans="2:23" ht="15.6">
      <c r="B107" s="106">
        <f t="shared" si="6"/>
        <v>64</v>
      </c>
      <c r="C107" s="103" t="s">
        <v>130</v>
      </c>
      <c r="D107" s="103" t="s">
        <v>127</v>
      </c>
      <c r="E107" s="107">
        <v>-812.7200382800246</v>
      </c>
      <c r="I107" s="106">
        <f t="shared" si="7"/>
        <v>5</v>
      </c>
      <c r="J107" s="103" t="s">
        <v>130</v>
      </c>
      <c r="K107" s="103" t="s">
        <v>127</v>
      </c>
      <c r="L107" s="107">
        <v>-727.24467110797707</v>
      </c>
      <c r="M107" s="107">
        <v>-624.29843929927199</v>
      </c>
      <c r="N107" s="107">
        <v>-703.32803464688629</v>
      </c>
      <c r="O107" s="107">
        <v>-669.21756451137719</v>
      </c>
      <c r="P107" t="str">
        <f t="shared" si="5"/>
        <v/>
      </c>
      <c r="U107" s="144">
        <v>94021.4</v>
      </c>
      <c r="V107" s="144">
        <v>-162386</v>
      </c>
      <c r="W107" s="143">
        <v>13473.2</v>
      </c>
    </row>
    <row r="108" spans="2:23" ht="15.6">
      <c r="B108" s="106">
        <f t="shared" si="6"/>
        <v>65</v>
      </c>
      <c r="C108" s="105" t="s">
        <v>129</v>
      </c>
      <c r="D108" s="103" t="s">
        <v>122</v>
      </c>
      <c r="E108" s="109">
        <v>1.0726800574048566E-2</v>
      </c>
      <c r="I108" s="106">
        <f t="shared" si="7"/>
        <v>6</v>
      </c>
      <c r="J108" s="105" t="s">
        <v>129</v>
      </c>
      <c r="K108" s="103" t="s">
        <v>122</v>
      </c>
      <c r="L108" s="109">
        <v>2.074264142265865E-2</v>
      </c>
      <c r="M108" s="109">
        <v>1.0499228915251166E-2</v>
      </c>
      <c r="N108" s="109">
        <v>9.3413540753322956E-3</v>
      </c>
      <c r="O108" s="109">
        <v>3.1442807085115387E-3</v>
      </c>
      <c r="P108" t="str">
        <f t="shared" si="5"/>
        <v/>
      </c>
      <c r="U108" s="144">
        <v>105774</v>
      </c>
      <c r="V108" s="144">
        <v>-162386</v>
      </c>
      <c r="W108" s="143">
        <v>6943.96</v>
      </c>
    </row>
    <row r="109" spans="2:23" ht="15.6">
      <c r="B109" s="106">
        <f t="shared" si="6"/>
        <v>66</v>
      </c>
      <c r="C109" s="103" t="s">
        <v>128</v>
      </c>
      <c r="D109" s="103" t="s">
        <v>127</v>
      </c>
      <c r="E109" s="108">
        <v>2796.3023196738063</v>
      </c>
      <c r="I109" s="106">
        <f t="shared" si="7"/>
        <v>7</v>
      </c>
      <c r="J109" s="103" t="s">
        <v>128</v>
      </c>
      <c r="K109" s="103" t="s">
        <v>127</v>
      </c>
      <c r="L109" s="108">
        <v>2793.736209696368</v>
      </c>
      <c r="M109" s="108">
        <v>2797.3699076030198</v>
      </c>
      <c r="N109" s="108">
        <v>2797.2908374550634</v>
      </c>
      <c r="O109" s="108">
        <v>2799.1417278655649</v>
      </c>
      <c r="P109" t="str">
        <f t="shared" si="5"/>
        <v/>
      </c>
      <c r="U109" s="144">
        <v>117527</v>
      </c>
      <c r="V109" s="144">
        <v>-162386</v>
      </c>
      <c r="W109" s="143">
        <v>4861.9799999999996</v>
      </c>
    </row>
    <row r="110" spans="2:23" ht="15.6">
      <c r="B110" s="106">
        <f t="shared" si="6"/>
        <v>67</v>
      </c>
      <c r="C110" s="105" t="s">
        <v>126</v>
      </c>
      <c r="D110" s="103" t="s">
        <v>122</v>
      </c>
      <c r="E110" s="109">
        <v>7.0078379992635012E-2</v>
      </c>
      <c r="F110" t="s">
        <v>306</v>
      </c>
      <c r="I110" s="106">
        <f t="shared" si="7"/>
        <v>8</v>
      </c>
      <c r="J110" s="105" t="s">
        <v>126</v>
      </c>
      <c r="K110" s="103" t="s">
        <v>122</v>
      </c>
      <c r="L110" s="113">
        <v>6.1390058613177742E-2</v>
      </c>
      <c r="M110" s="113">
        <v>5.0925874879894674E-2</v>
      </c>
      <c r="N110" s="113">
        <v>5.8959002383008587E-2</v>
      </c>
      <c r="O110" s="113">
        <v>5.5491772738412215E-2</v>
      </c>
      <c r="P110" t="str">
        <f t="shared" si="5"/>
        <v>(valid in case L-Flange is calculated)</v>
      </c>
      <c r="U110" s="144">
        <v>129279</v>
      </c>
      <c r="V110" s="144">
        <v>-162386</v>
      </c>
      <c r="W110" s="143">
        <v>1604.04</v>
      </c>
    </row>
    <row r="111" spans="2:23" ht="15.6">
      <c r="B111" s="106">
        <f t="shared" si="6"/>
        <v>68</v>
      </c>
      <c r="C111" s="105" t="s">
        <v>126</v>
      </c>
      <c r="D111" s="103" t="s">
        <v>122</v>
      </c>
      <c r="E111" s="109">
        <f>E110</f>
        <v>7.0078379992635012E-2</v>
      </c>
      <c r="F111" t="s">
        <v>305</v>
      </c>
      <c r="I111" s="106">
        <f t="shared" si="7"/>
        <v>9</v>
      </c>
      <c r="J111" s="105" t="s">
        <v>126</v>
      </c>
      <c r="K111" s="103" t="s">
        <v>122</v>
      </c>
      <c r="L111" s="113">
        <v>6.1390058613177742E-2</v>
      </c>
      <c r="M111" s="113">
        <v>5.0925874879894674E-2</v>
      </c>
      <c r="N111" s="113">
        <v>5.8959002383008587E-2</v>
      </c>
      <c r="O111" s="113">
        <v>5.5491772738412215E-2</v>
      </c>
      <c r="P111" t="str">
        <f t="shared" si="5"/>
        <v>(valid in case T-Flange is calculated)</v>
      </c>
      <c r="U111" s="144">
        <v>141032</v>
      </c>
      <c r="V111" s="144">
        <v>-162386</v>
      </c>
      <c r="W111" s="143">
        <v>300.08</v>
      </c>
    </row>
    <row r="112" spans="2:23" ht="15.6">
      <c r="B112" s="106">
        <f t="shared" si="6"/>
        <v>69</v>
      </c>
      <c r="C112" s="105" t="s">
        <v>124</v>
      </c>
      <c r="D112" s="103" t="s">
        <v>120</v>
      </c>
      <c r="E112" s="128"/>
      <c r="F112" t="s">
        <v>270</v>
      </c>
      <c r="I112" s="106">
        <f t="shared" si="7"/>
        <v>10</v>
      </c>
      <c r="J112" s="105" t="s">
        <v>124</v>
      </c>
      <c r="K112" s="103" t="s">
        <v>120</v>
      </c>
      <c r="L112" s="128"/>
      <c r="M112" s="128"/>
      <c r="N112" s="128"/>
      <c r="O112" s="128"/>
      <c r="P112" t="str">
        <f t="shared" si="5"/>
        <v>Bending moment L-Flange as a function of external force Z</v>
      </c>
      <c r="U112" s="144">
        <v>152785</v>
      </c>
      <c r="V112" s="144">
        <v>-162386</v>
      </c>
      <c r="W112" s="143">
        <v>463.81</v>
      </c>
    </row>
    <row r="113" spans="2:23">
      <c r="B113" s="106">
        <f t="shared" si="6"/>
        <v>70</v>
      </c>
      <c r="C113" s="105" t="s">
        <v>2</v>
      </c>
      <c r="D113" s="103" t="s">
        <v>125</v>
      </c>
      <c r="E113" s="107">
        <v>90.212333179266878</v>
      </c>
      <c r="I113" s="106">
        <f t="shared" si="7"/>
        <v>11</v>
      </c>
      <c r="J113" s="105" t="s">
        <v>2</v>
      </c>
      <c r="K113" s="103" t="s">
        <v>125</v>
      </c>
      <c r="L113" s="107">
        <v>90.212333179266878</v>
      </c>
      <c r="M113" s="107">
        <v>90.212333179266878</v>
      </c>
      <c r="N113" s="107">
        <v>90.212333179266878</v>
      </c>
      <c r="O113" s="107">
        <v>90.212333179266878</v>
      </c>
      <c r="P113" t="str">
        <f t="shared" si="5"/>
        <v/>
      </c>
      <c r="U113" s="144">
        <v>164537</v>
      </c>
      <c r="V113" s="144">
        <v>-162386</v>
      </c>
      <c r="W113" s="143">
        <v>73.905000000000001</v>
      </c>
    </row>
    <row r="114" spans="2:23" ht="15.6">
      <c r="B114" s="106"/>
      <c r="C114" s="105" t="s">
        <v>268</v>
      </c>
      <c r="D114" s="103" t="s">
        <v>267</v>
      </c>
      <c r="E114" s="114">
        <v>1.6641565715404047E-9</v>
      </c>
      <c r="F114" t="s">
        <v>335</v>
      </c>
      <c r="I114" s="106"/>
      <c r="J114" s="105" t="s">
        <v>268</v>
      </c>
      <c r="K114" s="103" t="s">
        <v>267</v>
      </c>
      <c r="L114" s="114">
        <v>1.6641565715404047E-9</v>
      </c>
      <c r="M114" s="114">
        <v>1.6641565715404047E-9</v>
      </c>
      <c r="N114" s="114">
        <v>1.6641565715404047E-9</v>
      </c>
      <c r="O114" s="114">
        <v>1.6641565715404047E-9</v>
      </c>
      <c r="P114" t="str">
        <f t="shared" si="5"/>
        <v>Bending resilience of bolt assembly (VDI2230)</v>
      </c>
      <c r="U114" s="144">
        <v>176290</v>
      </c>
      <c r="V114" s="144">
        <v>-162386</v>
      </c>
      <c r="W114" s="143">
        <v>91.37</v>
      </c>
    </row>
    <row r="115" spans="2:23" ht="15.6">
      <c r="B115" s="106">
        <f>B113+1</f>
        <v>71</v>
      </c>
      <c r="C115" s="105" t="s">
        <v>124</v>
      </c>
      <c r="D115" s="103" t="s">
        <v>120</v>
      </c>
      <c r="E115" s="128"/>
      <c r="F115" t="s">
        <v>266</v>
      </c>
      <c r="I115" s="106">
        <f>I113+1</f>
        <v>12</v>
      </c>
      <c r="J115" s="105" t="s">
        <v>124</v>
      </c>
      <c r="K115" s="103" t="s">
        <v>120</v>
      </c>
      <c r="L115" s="128"/>
      <c r="M115" s="128"/>
      <c r="N115" s="128"/>
      <c r="O115" s="128"/>
      <c r="P115" t="str">
        <f t="shared" si="5"/>
        <v>Bending moment for T-Flange as a function of external force Z</v>
      </c>
      <c r="U115" s="144">
        <v>2.1692199999999998E-2</v>
      </c>
      <c r="V115" s="144">
        <v>-147784</v>
      </c>
      <c r="W115" s="143">
        <v>12825500</v>
      </c>
    </row>
    <row r="116" spans="2:23" ht="15.6">
      <c r="B116" s="106">
        <f>B115+1</f>
        <v>72</v>
      </c>
      <c r="C116" s="105" t="s">
        <v>265</v>
      </c>
      <c r="D116" s="103" t="s">
        <v>122</v>
      </c>
      <c r="E116" s="128"/>
      <c r="F116" t="s">
        <v>264</v>
      </c>
      <c r="I116" s="106">
        <f>I115+1</f>
        <v>13</v>
      </c>
      <c r="J116" s="105" t="s">
        <v>265</v>
      </c>
      <c r="K116" s="103" t="s">
        <v>122</v>
      </c>
      <c r="L116" s="128"/>
      <c r="M116" s="128"/>
      <c r="N116" s="128"/>
      <c r="O116" s="128"/>
      <c r="P116" t="str">
        <f t="shared" si="5"/>
        <v>Intermediate values as function of Z</v>
      </c>
      <c r="U116" s="144">
        <v>11752.7</v>
      </c>
      <c r="V116" s="144">
        <v>-147784</v>
      </c>
      <c r="W116" s="143">
        <v>1201690</v>
      </c>
    </row>
    <row r="117" spans="2:23" ht="15.6">
      <c r="B117" s="106">
        <f>B116+1</f>
        <v>73</v>
      </c>
      <c r="C117" s="105" t="s">
        <v>263</v>
      </c>
      <c r="D117" s="103" t="s">
        <v>122</v>
      </c>
      <c r="E117" s="128"/>
      <c r="F117" t="s">
        <v>264</v>
      </c>
      <c r="I117" s="106">
        <f>I116+1</f>
        <v>14</v>
      </c>
      <c r="J117" s="105" t="s">
        <v>263</v>
      </c>
      <c r="K117" s="103" t="s">
        <v>122</v>
      </c>
      <c r="L117" s="128"/>
      <c r="M117" s="128"/>
      <c r="N117" s="128"/>
      <c r="O117" s="128"/>
      <c r="P117" t="str">
        <f t="shared" si="5"/>
        <v>Intermediate values as function of Z</v>
      </c>
      <c r="U117" s="144">
        <v>23505.4</v>
      </c>
      <c r="V117" s="144">
        <v>-147784</v>
      </c>
      <c r="W117" s="143">
        <v>721900</v>
      </c>
    </row>
    <row r="118" spans="2:23" ht="15.6">
      <c r="B118" s="106">
        <f>B117+1</f>
        <v>74</v>
      </c>
      <c r="C118" s="105" t="s">
        <v>123</v>
      </c>
      <c r="D118" s="103" t="s">
        <v>122</v>
      </c>
      <c r="E118" s="109">
        <v>0.23234521741945613</v>
      </c>
      <c r="F118" t="s">
        <v>306</v>
      </c>
      <c r="I118" s="106">
        <f>I117+1</f>
        <v>15</v>
      </c>
      <c r="J118" s="105" t="s">
        <v>123</v>
      </c>
      <c r="K118" s="103" t="s">
        <v>122</v>
      </c>
      <c r="L118" s="109">
        <v>0.21997940931318824</v>
      </c>
      <c r="M118" s="109">
        <v>0.21414036060354188</v>
      </c>
      <c r="N118" s="109">
        <v>0.22244206464021077</v>
      </c>
      <c r="O118" s="109">
        <v>0.20952715276547931</v>
      </c>
      <c r="P118" t="str">
        <f t="shared" si="5"/>
        <v>(valid in case L-Flange is calculated)</v>
      </c>
      <c r="U118" s="144">
        <v>35258</v>
      </c>
      <c r="V118" s="144">
        <v>-147784</v>
      </c>
      <c r="W118" s="143">
        <v>372404</v>
      </c>
    </row>
    <row r="119" spans="2:23" ht="15.6">
      <c r="C119" s="105" t="s">
        <v>123</v>
      </c>
      <c r="D119" s="103" t="s">
        <v>122</v>
      </c>
      <c r="E119" s="114">
        <v>0.15173499245887154</v>
      </c>
      <c r="F119" t="s">
        <v>305</v>
      </c>
      <c r="J119" s="105" t="s">
        <v>123</v>
      </c>
      <c r="K119" s="103" t="s">
        <v>122</v>
      </c>
      <c r="L119" s="114">
        <v>0.13003100863543465</v>
      </c>
      <c r="M119" s="114">
        <v>0.10792118759849148</v>
      </c>
      <c r="N119" s="114">
        <v>0.12687503944282252</v>
      </c>
      <c r="O119" s="114">
        <v>0.11668170990678514</v>
      </c>
      <c r="P119" t="str">
        <f t="shared" si="5"/>
        <v>(valid in case T-Flange is calculated)</v>
      </c>
      <c r="U119" s="144">
        <v>47010.7</v>
      </c>
      <c r="V119" s="144">
        <v>-147784</v>
      </c>
      <c r="W119" s="143">
        <v>208195</v>
      </c>
    </row>
    <row r="120" spans="2:23" ht="15.6">
      <c r="B120" s="106">
        <f>B118+1</f>
        <v>75</v>
      </c>
      <c r="C120" s="105" t="s">
        <v>121</v>
      </c>
      <c r="D120" s="103" t="s">
        <v>120</v>
      </c>
      <c r="E120" s="108">
        <v>-103.58907088530368</v>
      </c>
      <c r="F120" t="s">
        <v>306</v>
      </c>
      <c r="I120" s="106">
        <f>I118+1</f>
        <v>16</v>
      </c>
      <c r="J120" s="105" t="s">
        <v>121</v>
      </c>
      <c r="K120" s="103" t="s">
        <v>120</v>
      </c>
      <c r="L120" s="108">
        <v>-83.591865313834248</v>
      </c>
      <c r="M120" s="108">
        <v>-75.004012099028401</v>
      </c>
      <c r="N120" s="108">
        <v>-87.45278757349999</v>
      </c>
      <c r="O120" s="108">
        <v>-81.516557501337076</v>
      </c>
      <c r="P120" t="str">
        <f t="shared" si="5"/>
        <v>(valid in case L-Flange is calculated)</v>
      </c>
      <c r="U120" s="144">
        <v>58763.4</v>
      </c>
      <c r="V120" s="144">
        <v>-147784</v>
      </c>
      <c r="W120" s="143">
        <v>130491</v>
      </c>
    </row>
    <row r="121" spans="2:23" ht="15.6">
      <c r="C121" s="105" t="s">
        <v>121</v>
      </c>
      <c r="D121" s="103" t="s">
        <v>120</v>
      </c>
      <c r="E121" s="109">
        <v>-73.788867024160552</v>
      </c>
      <c r="F121" t="s">
        <v>305</v>
      </c>
      <c r="J121" s="105" t="s">
        <v>121</v>
      </c>
      <c r="K121" s="103" t="s">
        <v>120</v>
      </c>
      <c r="L121" s="108">
        <v>-56.743689789593809</v>
      </c>
      <c r="M121" s="108">
        <v>-43.20092948608152</v>
      </c>
      <c r="N121" s="108">
        <v>-55.434401921431395</v>
      </c>
      <c r="O121" s="108">
        <v>-50.00409899651315</v>
      </c>
      <c r="P121" t="str">
        <f t="shared" si="5"/>
        <v>(valid in case T-Flange is calculated)</v>
      </c>
      <c r="U121" s="144">
        <v>70516</v>
      </c>
      <c r="V121" s="144">
        <v>-147784</v>
      </c>
      <c r="W121" s="143">
        <v>71722.8</v>
      </c>
    </row>
    <row r="122" spans="2:23" ht="15.6">
      <c r="C122" s="105" t="s">
        <v>353</v>
      </c>
      <c r="D122" s="103" t="s">
        <v>127</v>
      </c>
      <c r="E122" s="109">
        <v>-123.19166666666668</v>
      </c>
      <c r="J122" s="105" t="s">
        <v>353</v>
      </c>
      <c r="K122" s="103" t="s">
        <v>127</v>
      </c>
      <c r="L122" s="109">
        <v>-123.19166666666668</v>
      </c>
      <c r="M122" s="109">
        <v>-123.19166666666668</v>
      </c>
      <c r="N122" s="109">
        <v>-123.19166666666668</v>
      </c>
      <c r="O122" s="109">
        <v>-123.19166666666668</v>
      </c>
      <c r="U122" s="144">
        <v>82268.7</v>
      </c>
      <c r="V122" s="144">
        <v>-147784</v>
      </c>
      <c r="W122" s="143">
        <v>35763.300000000003</v>
      </c>
    </row>
    <row r="123" spans="2:23" ht="16.2">
      <c r="C123" s="167" t="s">
        <v>351</v>
      </c>
      <c r="D123" s="103" t="s">
        <v>120</v>
      </c>
      <c r="E123" s="113">
        <v>0</v>
      </c>
      <c r="F123" s="142" t="s">
        <v>352</v>
      </c>
      <c r="J123" s="167" t="s">
        <v>351</v>
      </c>
      <c r="K123" s="103" t="s">
        <v>120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352</v>
      </c>
      <c r="U123" s="144">
        <v>94021.4</v>
      </c>
      <c r="V123" s="144">
        <v>-147784</v>
      </c>
      <c r="W123" s="143">
        <v>20334.7</v>
      </c>
    </row>
    <row r="124" spans="2:23" ht="16.2">
      <c r="C124" s="167" t="s">
        <v>350</v>
      </c>
      <c r="D124" s="103" t="s">
        <v>120</v>
      </c>
      <c r="E124" s="109">
        <v>-88.093742708092066</v>
      </c>
      <c r="F124" s="142" t="s">
        <v>352</v>
      </c>
      <c r="J124" s="167" t="s">
        <v>350</v>
      </c>
      <c r="K124" s="103" t="s">
        <v>120</v>
      </c>
      <c r="L124" s="109">
        <v>-79.335111063732128</v>
      </c>
      <c r="M124" s="109">
        <v>-85.140716827267767</v>
      </c>
      <c r="N124" s="109">
        <v>-87.325030731779506</v>
      </c>
      <c r="O124" s="109">
        <v>-89.237513993873364</v>
      </c>
      <c r="P124" s="142" t="s">
        <v>352</v>
      </c>
      <c r="U124" s="144">
        <v>105774</v>
      </c>
      <c r="V124" s="144">
        <v>-147784</v>
      </c>
      <c r="W124" s="143">
        <v>12975.2</v>
      </c>
    </row>
    <row r="125" spans="2:23" ht="16.2">
      <c r="C125" s="167" t="s">
        <v>349</v>
      </c>
      <c r="D125" s="103" t="s">
        <v>120</v>
      </c>
      <c r="E125" s="113">
        <v>-21.483662640318066</v>
      </c>
      <c r="F125" s="142" t="s">
        <v>352</v>
      </c>
      <c r="J125" s="167" t="s">
        <v>349</v>
      </c>
      <c r="K125" s="103" t="s">
        <v>120</v>
      </c>
      <c r="L125" s="113">
        <v>-17.477380621641423</v>
      </c>
      <c r="M125" s="113">
        <v>-16.166306537382432</v>
      </c>
      <c r="N125" s="113">
        <v>-18.63833338855045</v>
      </c>
      <c r="O125" s="113">
        <v>-18.154315375054285</v>
      </c>
      <c r="P125" s="142" t="s">
        <v>352</v>
      </c>
      <c r="U125" s="144">
        <v>117527</v>
      </c>
      <c r="V125" s="144">
        <v>-147784</v>
      </c>
      <c r="W125" s="143">
        <v>4401.72</v>
      </c>
    </row>
    <row r="126" spans="2:23" ht="16.2">
      <c r="C126" s="167" t="s">
        <v>351</v>
      </c>
      <c r="D126" s="103" t="s">
        <v>120</v>
      </c>
      <c r="E126" s="113">
        <v>1.1401456478057396E-3</v>
      </c>
      <c r="F126" s="142" t="s">
        <v>348</v>
      </c>
      <c r="J126" s="167" t="s">
        <v>351</v>
      </c>
      <c r="K126" s="103" t="s">
        <v>120</v>
      </c>
      <c r="L126" s="113">
        <v>2.2047237830872942E-3</v>
      </c>
      <c r="M126" s="113">
        <v>1.1159571831698336E-3</v>
      </c>
      <c r="N126" s="113">
        <v>9.9288731249179505E-4</v>
      </c>
      <c r="O126" s="113">
        <v>3.3420384210013624E-4</v>
      </c>
      <c r="P126" s="142" t="s">
        <v>348</v>
      </c>
      <c r="U126" s="144">
        <v>129279</v>
      </c>
      <c r="V126" s="144">
        <v>-147784</v>
      </c>
      <c r="W126" s="143">
        <v>1910.46</v>
      </c>
    </row>
    <row r="127" spans="2:23" ht="16.2">
      <c r="C127" s="167" t="s">
        <v>350</v>
      </c>
      <c r="D127" s="103" t="s">
        <v>120</v>
      </c>
      <c r="E127" s="109">
        <v>-88.02229121011996</v>
      </c>
      <c r="F127" s="142" t="s">
        <v>348</v>
      </c>
      <c r="J127" s="167" t="s">
        <v>350</v>
      </c>
      <c r="K127" s="103" t="s">
        <v>120</v>
      </c>
      <c r="L127" s="109">
        <v>-79.270763558982907</v>
      </c>
      <c r="M127" s="109">
        <v>-85.07166048377826</v>
      </c>
      <c r="N127" s="109">
        <v>-87.254202724426932</v>
      </c>
      <c r="O127" s="109">
        <v>-89.165134800367028</v>
      </c>
      <c r="P127" s="142" t="s">
        <v>348</v>
      </c>
      <c r="U127" s="144">
        <v>141032</v>
      </c>
      <c r="V127" s="144">
        <v>-147784</v>
      </c>
      <c r="W127" s="143">
        <v>1314.61</v>
      </c>
    </row>
    <row r="128" spans="2:23" ht="16.2">
      <c r="C128" s="167" t="s">
        <v>349</v>
      </c>
      <c r="D128" s="103" t="s">
        <v>120</v>
      </c>
      <c r="E128" s="113">
        <v>-21.46848914107218</v>
      </c>
      <c r="F128" s="142" t="s">
        <v>348</v>
      </c>
      <c r="J128" s="167" t="s">
        <v>349</v>
      </c>
      <c r="K128" s="103" t="s">
        <v>120</v>
      </c>
      <c r="L128" s="113">
        <v>-17.46437752077788</v>
      </c>
      <c r="M128" s="113">
        <v>-16.155514418622584</v>
      </c>
      <c r="N128" s="113">
        <v>-18.625645884606168</v>
      </c>
      <c r="O128" s="113">
        <v>-18.142647204063607</v>
      </c>
      <c r="P128" s="142" t="s">
        <v>348</v>
      </c>
      <c r="U128" s="144">
        <v>152785</v>
      </c>
      <c r="V128" s="144">
        <v>-147784</v>
      </c>
      <c r="W128" s="143">
        <v>176.73</v>
      </c>
    </row>
    <row r="129" spans="3:23" ht="16.2">
      <c r="C129" s="167" t="s">
        <v>347</v>
      </c>
      <c r="D129" s="103" t="s">
        <v>120</v>
      </c>
      <c r="E129" s="113">
        <v>-23.49637843648005</v>
      </c>
      <c r="J129" s="167" t="s">
        <v>347</v>
      </c>
      <c r="K129" s="103" t="s">
        <v>120</v>
      </c>
      <c r="L129" s="108">
        <v>-17.163252728871843</v>
      </c>
      <c r="M129" s="108">
        <v>-21.361126620846996</v>
      </c>
      <c r="N129" s="108">
        <v>-22.940543943535449</v>
      </c>
      <c r="O129" s="108">
        <v>-24.323408003167014</v>
      </c>
      <c r="U129" s="144">
        <v>164537</v>
      </c>
      <c r="V129" s="144">
        <v>-147784</v>
      </c>
      <c r="W129" s="143">
        <v>78.25</v>
      </c>
    </row>
    <row r="130" spans="3:23" ht="16.2">
      <c r="C130" s="167" t="s">
        <v>346</v>
      </c>
      <c r="D130" s="103" t="s">
        <v>120</v>
      </c>
      <c r="E130" s="113">
        <v>3018.8768217447646</v>
      </c>
      <c r="J130" s="167" t="s">
        <v>346</v>
      </c>
      <c r="K130" s="103" t="s">
        <v>120</v>
      </c>
      <c r="L130" s="108">
        <v>3006.1721426495624</v>
      </c>
      <c r="M130" s="108">
        <v>3060.5631366312909</v>
      </c>
      <c r="N130" s="108">
        <v>3043.0786623733693</v>
      </c>
      <c r="O130" s="108">
        <v>3050.6252483629169</v>
      </c>
      <c r="U130" s="144">
        <v>176290</v>
      </c>
      <c r="V130" s="144">
        <v>-147784</v>
      </c>
      <c r="W130" s="143">
        <v>5.05</v>
      </c>
    </row>
    <row r="131" spans="3:23" ht="16.2">
      <c r="C131" s="167" t="s">
        <v>345</v>
      </c>
      <c r="D131" s="103" t="s">
        <v>120</v>
      </c>
      <c r="E131" s="113">
        <v>87.831110336558268</v>
      </c>
      <c r="J131" s="167" t="s">
        <v>345</v>
      </c>
      <c r="K131" s="103" t="s">
        <v>120</v>
      </c>
      <c r="L131" s="108">
        <v>90.017504647479655</v>
      </c>
      <c r="M131" s="108">
        <v>72.234046984620434</v>
      </c>
      <c r="N131" s="108">
        <v>78.080764699270006</v>
      </c>
      <c r="O131" s="108">
        <v>73.328225746448567</v>
      </c>
      <c r="U131" s="144">
        <v>188043</v>
      </c>
      <c r="V131" s="144">
        <v>-147784</v>
      </c>
      <c r="W131" s="143">
        <v>129.63999999999999</v>
      </c>
    </row>
    <row r="132" spans="3:23" ht="15.6">
      <c r="C132" s="112" t="s">
        <v>344</v>
      </c>
      <c r="E132" s="135">
        <v>9.6252341234037329E-4</v>
      </c>
      <c r="F132" t="s">
        <v>338</v>
      </c>
      <c r="J132" s="112" t="s">
        <v>344</v>
      </c>
      <c r="L132" s="135">
        <v>5.5879032615876187E-4</v>
      </c>
      <c r="M132" s="135">
        <v>6.2518154450968305E-4</v>
      </c>
      <c r="N132" s="135">
        <v>7.9528226305235813E-4</v>
      </c>
      <c r="O132" s="135">
        <v>8.6322800174191939E-4</v>
      </c>
      <c r="P132" t="s">
        <v>338</v>
      </c>
      <c r="U132" s="144">
        <v>199795</v>
      </c>
      <c r="V132" s="144">
        <v>-147784</v>
      </c>
      <c r="W132" s="143">
        <v>116.655</v>
      </c>
    </row>
    <row r="133" spans="3:23" ht="15.6">
      <c r="C133" s="112" t="s">
        <v>343</v>
      </c>
      <c r="E133" s="135">
        <v>0.46959119650800563</v>
      </c>
      <c r="F133" t="s">
        <v>339</v>
      </c>
      <c r="J133" s="112" t="s">
        <v>343</v>
      </c>
      <c r="L133" s="135">
        <v>0.35771191151935239</v>
      </c>
      <c r="M133" s="135">
        <v>0.36823719162967039</v>
      </c>
      <c r="N133" s="135">
        <v>0.41846588775849147</v>
      </c>
      <c r="O133" s="135">
        <v>0.42229846804856291</v>
      </c>
      <c r="P133" t="s">
        <v>339</v>
      </c>
      <c r="U133" s="144">
        <v>211548</v>
      </c>
      <c r="V133" s="144">
        <v>-147784</v>
      </c>
      <c r="W133" s="143">
        <v>64.819999999999993</v>
      </c>
    </row>
    <row r="134" spans="3:23" ht="15.6">
      <c r="C134" s="112" t="s">
        <v>342</v>
      </c>
      <c r="E134" s="135">
        <v>19.769143191521266</v>
      </c>
      <c r="F134" t="s">
        <v>340</v>
      </c>
      <c r="J134" s="112" t="s">
        <v>342</v>
      </c>
      <c r="L134" s="135">
        <v>18.445565442527482</v>
      </c>
      <c r="M134" s="135">
        <v>14.536168917275404</v>
      </c>
      <c r="N134" s="135">
        <v>16.563858287041967</v>
      </c>
      <c r="O134" s="135">
        <v>14.620687471515339</v>
      </c>
      <c r="P134" t="s">
        <v>340</v>
      </c>
      <c r="U134" s="144">
        <v>223301</v>
      </c>
      <c r="V134" s="144">
        <v>-147784</v>
      </c>
      <c r="W134" s="143">
        <v>38.465000000000003</v>
      </c>
    </row>
    <row r="135" spans="3:23">
      <c r="C135" s="112"/>
      <c r="J135" s="112"/>
      <c r="L135" s="112"/>
      <c r="M135" s="112"/>
      <c r="N135" s="112"/>
      <c r="O135" s="112"/>
      <c r="U135" s="144">
        <v>2.1692199999999998E-2</v>
      </c>
      <c r="V135" s="144">
        <v>-133181</v>
      </c>
      <c r="W135" s="143">
        <v>14608100</v>
      </c>
    </row>
    <row r="136" spans="3:23">
      <c r="C136" s="103" t="s">
        <v>92</v>
      </c>
      <c r="D136" s="166"/>
      <c r="E136" s="109">
        <v>6.014862663421173</v>
      </c>
      <c r="F136" t="s">
        <v>341</v>
      </c>
      <c r="J136" s="103" t="s">
        <v>92</v>
      </c>
      <c r="K136" s="166"/>
      <c r="L136" s="109">
        <v>0.94578412121086419</v>
      </c>
      <c r="M136" s="109">
        <v>1.268653012498814</v>
      </c>
      <c r="N136" s="109">
        <v>3.0528794613962766</v>
      </c>
      <c r="O136" s="109">
        <v>3.8527343502594769</v>
      </c>
      <c r="P136" t="s">
        <v>341</v>
      </c>
      <c r="U136" s="144">
        <v>11752.7</v>
      </c>
      <c r="V136" s="144">
        <v>-133181</v>
      </c>
      <c r="W136" s="143">
        <v>1363010</v>
      </c>
    </row>
    <row r="137" spans="3:23">
      <c r="D137" s="145"/>
      <c r="U137" s="144">
        <v>23505.4</v>
      </c>
      <c r="V137" s="144">
        <v>-133181</v>
      </c>
      <c r="W137" s="143">
        <v>699348</v>
      </c>
    </row>
    <row r="138" spans="3:23">
      <c r="U138" s="144">
        <v>35258</v>
      </c>
      <c r="V138" s="144">
        <v>-133181</v>
      </c>
      <c r="W138" s="143">
        <v>431949</v>
      </c>
    </row>
    <row r="139" spans="3:23">
      <c r="U139" s="144">
        <v>47010.7</v>
      </c>
      <c r="V139" s="144">
        <v>-133181</v>
      </c>
      <c r="W139" s="143">
        <v>254488</v>
      </c>
    </row>
    <row r="140" spans="3:23">
      <c r="U140" s="144">
        <v>58763.4</v>
      </c>
      <c r="V140" s="144">
        <v>-133181</v>
      </c>
      <c r="W140" s="143">
        <v>143313</v>
      </c>
    </row>
    <row r="141" spans="3:23">
      <c r="U141" s="144">
        <v>70516</v>
      </c>
      <c r="V141" s="144">
        <v>-133181</v>
      </c>
      <c r="W141" s="143">
        <v>72064.3</v>
      </c>
    </row>
    <row r="142" spans="3:23">
      <c r="U142" s="144">
        <v>82268.7</v>
      </c>
      <c r="V142" s="144">
        <v>-133181</v>
      </c>
      <c r="W142" s="143">
        <v>44146.6</v>
      </c>
    </row>
    <row r="143" spans="3:23">
      <c r="U143" s="144">
        <v>94021.4</v>
      </c>
      <c r="V143" s="144">
        <v>-133181</v>
      </c>
      <c r="W143" s="143">
        <v>23289.3</v>
      </c>
    </row>
    <row r="144" spans="3:23">
      <c r="U144" s="144">
        <v>105774</v>
      </c>
      <c r="V144" s="144">
        <v>-133181</v>
      </c>
      <c r="W144" s="143">
        <v>13757.2</v>
      </c>
    </row>
    <row r="145" spans="21:23">
      <c r="U145" s="144">
        <v>117527</v>
      </c>
      <c r="V145" s="144">
        <v>-133181</v>
      </c>
      <c r="W145" s="143">
        <v>5604.8</v>
      </c>
    </row>
    <row r="146" spans="21:23">
      <c r="U146" s="144">
        <v>129279</v>
      </c>
      <c r="V146" s="144">
        <v>-133181</v>
      </c>
      <c r="W146" s="143">
        <v>6535.44</v>
      </c>
    </row>
    <row r="147" spans="21:23">
      <c r="U147" s="144">
        <v>141032</v>
      </c>
      <c r="V147" s="144">
        <v>-133181</v>
      </c>
      <c r="W147" s="143">
        <v>1955.7</v>
      </c>
    </row>
    <row r="148" spans="21:23">
      <c r="U148" s="144">
        <v>152785</v>
      </c>
      <c r="V148" s="144">
        <v>-133181</v>
      </c>
      <c r="W148" s="143">
        <v>701.43499999999995</v>
      </c>
    </row>
    <row r="149" spans="21:23">
      <c r="U149" s="144">
        <v>164537</v>
      </c>
      <c r="V149" s="144">
        <v>-133181</v>
      </c>
      <c r="W149" s="143">
        <v>585.83000000000004</v>
      </c>
    </row>
    <row r="150" spans="21:23">
      <c r="U150" s="144">
        <v>176290</v>
      </c>
      <c r="V150" s="144">
        <v>-133181</v>
      </c>
      <c r="W150" s="143">
        <v>203.07499999999999</v>
      </c>
    </row>
    <row r="151" spans="21:23">
      <c r="U151" s="144">
        <v>188043</v>
      </c>
      <c r="V151" s="144">
        <v>-133181</v>
      </c>
      <c r="W151" s="143">
        <v>91.724999999999994</v>
      </c>
    </row>
    <row r="152" spans="21:23">
      <c r="U152" s="144">
        <v>199795</v>
      </c>
      <c r="V152" s="144">
        <v>-133181</v>
      </c>
      <c r="W152" s="143">
        <v>129.63999999999999</v>
      </c>
    </row>
    <row r="153" spans="21:23">
      <c r="U153" s="144">
        <v>211548</v>
      </c>
      <c r="V153" s="144">
        <v>-133181</v>
      </c>
      <c r="W153" s="143">
        <v>169.77500000000001</v>
      </c>
    </row>
    <row r="154" spans="21:23">
      <c r="U154" s="144">
        <v>223301</v>
      </c>
      <c r="V154" s="144">
        <v>-133181</v>
      </c>
      <c r="W154" s="143">
        <v>115.395</v>
      </c>
    </row>
    <row r="155" spans="21:23">
      <c r="U155" s="144">
        <v>235053</v>
      </c>
      <c r="V155" s="144">
        <v>-133181</v>
      </c>
      <c r="W155" s="143">
        <v>26.355</v>
      </c>
    </row>
    <row r="156" spans="21:23">
      <c r="U156" s="144">
        <v>2.1692199999999998E-2</v>
      </c>
      <c r="V156" s="144">
        <v>-118579</v>
      </c>
      <c r="W156" s="143">
        <v>16764400</v>
      </c>
    </row>
    <row r="157" spans="21:23">
      <c r="U157" s="144">
        <v>11752.7</v>
      </c>
      <c r="V157" s="144">
        <v>-118579</v>
      </c>
      <c r="W157" s="143">
        <v>1516900</v>
      </c>
    </row>
    <row r="158" spans="21:23">
      <c r="U158" s="144">
        <v>23505.4</v>
      </c>
      <c r="V158" s="144">
        <v>-118579</v>
      </c>
      <c r="W158" s="143">
        <v>821365</v>
      </c>
    </row>
    <row r="159" spans="21:23">
      <c r="U159" s="144">
        <v>35258</v>
      </c>
      <c r="V159" s="144">
        <v>-118579</v>
      </c>
      <c r="W159" s="143">
        <v>486273</v>
      </c>
    </row>
    <row r="160" spans="21:23">
      <c r="U160" s="144">
        <v>47010.7</v>
      </c>
      <c r="V160" s="144">
        <v>-118579</v>
      </c>
      <c r="W160" s="143">
        <v>267269</v>
      </c>
    </row>
    <row r="161" spans="21:23">
      <c r="U161" s="144">
        <v>58763.4</v>
      </c>
      <c r="V161" s="144">
        <v>-118579</v>
      </c>
      <c r="W161" s="143">
        <v>156449</v>
      </c>
    </row>
    <row r="162" spans="21:23">
      <c r="U162" s="144">
        <v>70516</v>
      </c>
      <c r="V162" s="144">
        <v>-118579</v>
      </c>
      <c r="W162" s="143">
        <v>84667.8</v>
      </c>
    </row>
    <row r="163" spans="21:23">
      <c r="U163" s="144">
        <v>82268.7</v>
      </c>
      <c r="V163" s="144">
        <v>-118579</v>
      </c>
      <c r="W163" s="143">
        <v>55249.2</v>
      </c>
    </row>
    <row r="164" spans="21:23">
      <c r="U164" s="144">
        <v>94021.4</v>
      </c>
      <c r="V164" s="144">
        <v>-118579</v>
      </c>
      <c r="W164" s="143">
        <v>26999.8</v>
      </c>
    </row>
    <row r="165" spans="21:23">
      <c r="U165" s="144">
        <v>105774</v>
      </c>
      <c r="V165" s="144">
        <v>-118579</v>
      </c>
      <c r="W165" s="143">
        <v>14137</v>
      </c>
    </row>
    <row r="166" spans="21:23">
      <c r="U166" s="144">
        <v>117527</v>
      </c>
      <c r="V166" s="144">
        <v>-118579</v>
      </c>
      <c r="W166" s="143">
        <v>5261.49</v>
      </c>
    </row>
    <row r="167" spans="21:23">
      <c r="U167" s="144">
        <v>129279</v>
      </c>
      <c r="V167" s="144">
        <v>-118579</v>
      </c>
      <c r="W167" s="143">
        <v>1780.64</v>
      </c>
    </row>
    <row r="168" spans="21:23">
      <c r="U168" s="144">
        <v>141032</v>
      </c>
      <c r="V168" s="144">
        <v>-118579</v>
      </c>
      <c r="W168" s="143">
        <v>2281.29</v>
      </c>
    </row>
    <row r="169" spans="21:23">
      <c r="U169" s="144">
        <v>152785</v>
      </c>
      <c r="V169" s="144">
        <v>-118579</v>
      </c>
      <c r="W169" s="143">
        <v>1150.05</v>
      </c>
    </row>
    <row r="170" spans="21:23">
      <c r="U170" s="144">
        <v>164537</v>
      </c>
      <c r="V170" s="144">
        <v>-118579</v>
      </c>
      <c r="W170" s="143">
        <v>864.16</v>
      </c>
    </row>
    <row r="171" spans="21:23">
      <c r="U171" s="144">
        <v>176290</v>
      </c>
      <c r="V171" s="144">
        <v>-118579</v>
      </c>
      <c r="W171" s="143">
        <v>377.495</v>
      </c>
    </row>
    <row r="172" spans="21:23">
      <c r="U172" s="144">
        <v>188043</v>
      </c>
      <c r="V172" s="144">
        <v>-118579</v>
      </c>
      <c r="W172" s="143">
        <v>536.38</v>
      </c>
    </row>
    <row r="173" spans="21:23">
      <c r="U173" s="144">
        <v>199795</v>
      </c>
      <c r="V173" s="144">
        <v>-118579</v>
      </c>
      <c r="W173" s="143">
        <v>297.57499999999999</v>
      </c>
    </row>
    <row r="174" spans="21:23">
      <c r="U174" s="144">
        <v>211548</v>
      </c>
      <c r="V174" s="144">
        <v>-118579</v>
      </c>
      <c r="W174" s="143">
        <v>153.38</v>
      </c>
    </row>
    <row r="175" spans="21:23">
      <c r="U175" s="144">
        <v>223301</v>
      </c>
      <c r="V175" s="144">
        <v>-118579</v>
      </c>
      <c r="W175" s="143">
        <v>14.785</v>
      </c>
    </row>
    <row r="176" spans="21:23">
      <c r="U176" s="144">
        <v>235053</v>
      </c>
      <c r="V176" s="144">
        <v>-118579</v>
      </c>
      <c r="W176" s="143">
        <v>29.265000000000001</v>
      </c>
    </row>
    <row r="177" spans="21:23">
      <c r="U177" s="144">
        <v>246806</v>
      </c>
      <c r="V177" s="144">
        <v>-118579</v>
      </c>
      <c r="W177" s="143">
        <v>1.87</v>
      </c>
    </row>
    <row r="178" spans="21:23">
      <c r="U178" s="144">
        <v>270311</v>
      </c>
      <c r="V178" s="144">
        <v>-118579</v>
      </c>
      <c r="W178" s="143">
        <v>0.57999999999999996</v>
      </c>
    </row>
    <row r="179" spans="21:23">
      <c r="U179" s="144">
        <v>282064</v>
      </c>
      <c r="V179" s="144">
        <v>-118579</v>
      </c>
      <c r="W179" s="143">
        <v>0.27500000000000002</v>
      </c>
    </row>
    <row r="180" spans="21:23">
      <c r="U180" s="144">
        <v>2.1692199999999998E-2</v>
      </c>
      <c r="V180" s="144">
        <v>-103977</v>
      </c>
      <c r="W180" s="143">
        <v>18299900</v>
      </c>
    </row>
    <row r="181" spans="21:23">
      <c r="U181" s="144">
        <v>11752.7</v>
      </c>
      <c r="V181" s="144">
        <v>-103977</v>
      </c>
      <c r="W181" s="143">
        <v>1647820</v>
      </c>
    </row>
    <row r="182" spans="21:23">
      <c r="U182" s="144">
        <v>23505.4</v>
      </c>
      <c r="V182" s="144">
        <v>-103977</v>
      </c>
      <c r="W182" s="143">
        <v>793648</v>
      </c>
    </row>
    <row r="183" spans="21:23">
      <c r="U183" s="144">
        <v>35258</v>
      </c>
      <c r="V183" s="144">
        <v>-103977</v>
      </c>
      <c r="W183" s="143">
        <v>415306</v>
      </c>
    </row>
    <row r="184" spans="21:23">
      <c r="U184" s="144">
        <v>47010.7</v>
      </c>
      <c r="V184" s="144">
        <v>-103977</v>
      </c>
      <c r="W184" s="143">
        <v>252580</v>
      </c>
    </row>
    <row r="185" spans="21:23">
      <c r="U185" s="144">
        <v>58763.4</v>
      </c>
      <c r="V185" s="144">
        <v>-103977</v>
      </c>
      <c r="W185" s="143">
        <v>155882</v>
      </c>
    </row>
    <row r="186" spans="21:23">
      <c r="U186" s="144">
        <v>70516</v>
      </c>
      <c r="V186" s="144">
        <v>-103977</v>
      </c>
      <c r="W186" s="143">
        <v>85925.4</v>
      </c>
    </row>
    <row r="187" spans="21:23">
      <c r="U187" s="144">
        <v>82268.7</v>
      </c>
      <c r="V187" s="144">
        <v>-103977</v>
      </c>
      <c r="W187" s="143">
        <v>56938.3</v>
      </c>
    </row>
    <row r="188" spans="21:23">
      <c r="U188" s="144">
        <v>94021.4</v>
      </c>
      <c r="V188" s="144">
        <v>-103977</v>
      </c>
      <c r="W188" s="143">
        <v>32883.199999999997</v>
      </c>
    </row>
    <row r="189" spans="21:23">
      <c r="U189" s="144">
        <v>105774</v>
      </c>
      <c r="V189" s="144">
        <v>-103977</v>
      </c>
      <c r="W189" s="143">
        <v>15720.4</v>
      </c>
    </row>
    <row r="190" spans="21:23">
      <c r="U190" s="144">
        <v>117527</v>
      </c>
      <c r="V190" s="144">
        <v>-103977</v>
      </c>
      <c r="W190" s="143">
        <v>8910.98</v>
      </c>
    </row>
    <row r="191" spans="21:23">
      <c r="U191" s="144">
        <v>129279</v>
      </c>
      <c r="V191" s="144">
        <v>-103977</v>
      </c>
      <c r="W191" s="143">
        <v>4844.63</v>
      </c>
    </row>
    <row r="192" spans="21:23">
      <c r="U192" s="144">
        <v>141032</v>
      </c>
      <c r="V192" s="144">
        <v>-103977</v>
      </c>
      <c r="W192" s="143">
        <v>2319.48</v>
      </c>
    </row>
    <row r="193" spans="21:23">
      <c r="U193" s="144">
        <v>152785</v>
      </c>
      <c r="V193" s="144">
        <v>-103977</v>
      </c>
      <c r="W193" s="143">
        <v>1530.14</v>
      </c>
    </row>
    <row r="194" spans="21:23">
      <c r="U194" s="144">
        <v>164537</v>
      </c>
      <c r="V194" s="144">
        <v>-103977</v>
      </c>
      <c r="W194" s="143">
        <v>1138.23</v>
      </c>
    </row>
    <row r="195" spans="21:23">
      <c r="U195" s="144">
        <v>176290</v>
      </c>
      <c r="V195" s="144">
        <v>-103977</v>
      </c>
      <c r="W195" s="143">
        <v>821.17499999999995</v>
      </c>
    </row>
    <row r="196" spans="21:23">
      <c r="U196" s="144">
        <v>188043</v>
      </c>
      <c r="V196" s="144">
        <v>-103977</v>
      </c>
      <c r="W196" s="143">
        <v>379.61</v>
      </c>
    </row>
    <row r="197" spans="21:23">
      <c r="U197" s="144">
        <v>199795</v>
      </c>
      <c r="V197" s="144">
        <v>-103977</v>
      </c>
      <c r="W197" s="143">
        <v>298.08499999999998</v>
      </c>
    </row>
    <row r="198" spans="21:23">
      <c r="U198" s="144">
        <v>211548</v>
      </c>
      <c r="V198" s="144">
        <v>-103977</v>
      </c>
      <c r="W198" s="143">
        <v>243.17</v>
      </c>
    </row>
    <row r="199" spans="21:23">
      <c r="U199" s="144">
        <v>223301</v>
      </c>
      <c r="V199" s="144">
        <v>-103977</v>
      </c>
      <c r="W199" s="143">
        <v>232.22499999999999</v>
      </c>
    </row>
    <row r="200" spans="21:23">
      <c r="U200" s="144">
        <v>235053</v>
      </c>
      <c r="V200" s="144">
        <v>-103977</v>
      </c>
      <c r="W200" s="143">
        <v>238.18</v>
      </c>
    </row>
    <row r="201" spans="21:23">
      <c r="U201" s="144">
        <v>246806</v>
      </c>
      <c r="V201" s="144">
        <v>-103977</v>
      </c>
      <c r="W201" s="143">
        <v>87.57</v>
      </c>
    </row>
    <row r="202" spans="21:23">
      <c r="U202" s="144">
        <v>258559</v>
      </c>
      <c r="V202" s="144">
        <v>-103977</v>
      </c>
      <c r="W202" s="143">
        <v>155.685</v>
      </c>
    </row>
    <row r="203" spans="21:23">
      <c r="U203" s="144">
        <v>270311</v>
      </c>
      <c r="V203" s="144">
        <v>-103977</v>
      </c>
      <c r="W203" s="143">
        <v>38.375</v>
      </c>
    </row>
    <row r="204" spans="21:23">
      <c r="U204" s="144">
        <v>305569</v>
      </c>
      <c r="V204" s="144">
        <v>-103977</v>
      </c>
      <c r="W204" s="143">
        <v>0.27500000000000002</v>
      </c>
    </row>
    <row r="205" spans="21:23">
      <c r="U205" s="144">
        <v>2.1692199999999998E-2</v>
      </c>
      <c r="V205" s="144">
        <v>-89374.2</v>
      </c>
      <c r="W205" s="143">
        <v>18333800</v>
      </c>
    </row>
    <row r="206" spans="21:23">
      <c r="U206" s="144">
        <v>11752.7</v>
      </c>
      <c r="V206" s="144">
        <v>-89374.2</v>
      </c>
      <c r="W206" s="143">
        <v>1672060</v>
      </c>
    </row>
    <row r="207" spans="21:23">
      <c r="U207" s="144">
        <v>23505.4</v>
      </c>
      <c r="V207" s="144">
        <v>-89374.2</v>
      </c>
      <c r="W207" s="143">
        <v>781045</v>
      </c>
    </row>
    <row r="208" spans="21:23">
      <c r="U208" s="144">
        <v>35258</v>
      </c>
      <c r="V208" s="144">
        <v>-89374.2</v>
      </c>
      <c r="W208" s="143">
        <v>346704</v>
      </c>
    </row>
    <row r="209" spans="21:23">
      <c r="U209" s="144">
        <v>47010.7</v>
      </c>
      <c r="V209" s="144">
        <v>-89374.2</v>
      </c>
      <c r="W209" s="143">
        <v>175918</v>
      </c>
    </row>
    <row r="210" spans="21:23">
      <c r="U210" s="144">
        <v>58763.4</v>
      </c>
      <c r="V210" s="144">
        <v>-89374.2</v>
      </c>
      <c r="W210" s="143">
        <v>109336</v>
      </c>
    </row>
    <row r="211" spans="21:23">
      <c r="U211" s="144">
        <v>70516</v>
      </c>
      <c r="V211" s="144">
        <v>-89374.2</v>
      </c>
      <c r="W211" s="143">
        <v>55006.5</v>
      </c>
    </row>
    <row r="212" spans="21:23">
      <c r="U212" s="144">
        <v>82268.7</v>
      </c>
      <c r="V212" s="144">
        <v>-89374.2</v>
      </c>
      <c r="W212" s="143">
        <v>31144.400000000001</v>
      </c>
    </row>
    <row r="213" spans="21:23">
      <c r="U213" s="144">
        <v>94021.4</v>
      </c>
      <c r="V213" s="144">
        <v>-89374.2</v>
      </c>
      <c r="W213" s="143">
        <v>19540.2</v>
      </c>
    </row>
    <row r="214" spans="21:23">
      <c r="U214" s="144">
        <v>105774</v>
      </c>
      <c r="V214" s="144">
        <v>-89374.2</v>
      </c>
      <c r="W214" s="143">
        <v>9976.2900000000009</v>
      </c>
    </row>
    <row r="215" spans="21:23">
      <c r="U215" s="144">
        <v>117527</v>
      </c>
      <c r="V215" s="144">
        <v>-89374.2</v>
      </c>
      <c r="W215" s="143">
        <v>5060.4399999999996</v>
      </c>
    </row>
    <row r="216" spans="21:23">
      <c r="U216" s="144">
        <v>129279</v>
      </c>
      <c r="V216" s="144">
        <v>-89374.2</v>
      </c>
      <c r="W216" s="143">
        <v>2064.5300000000002</v>
      </c>
    </row>
    <row r="217" spans="21:23">
      <c r="U217" s="144">
        <v>141032</v>
      </c>
      <c r="V217" s="144">
        <v>-89374.2</v>
      </c>
      <c r="W217" s="143">
        <v>1656.64</v>
      </c>
    </row>
    <row r="218" spans="21:23">
      <c r="U218" s="144">
        <v>152785</v>
      </c>
      <c r="V218" s="144">
        <v>-89374.2</v>
      </c>
      <c r="W218" s="143">
        <v>960.87</v>
      </c>
    </row>
    <row r="219" spans="21:23">
      <c r="U219" s="144">
        <v>164537</v>
      </c>
      <c r="V219" s="144">
        <v>-89374.2</v>
      </c>
      <c r="W219" s="143">
        <v>368.58</v>
      </c>
    </row>
    <row r="220" spans="21:23">
      <c r="U220" s="144">
        <v>176290</v>
      </c>
      <c r="V220" s="144">
        <v>-89374.2</v>
      </c>
      <c r="W220" s="143">
        <v>303.67</v>
      </c>
    </row>
    <row r="221" spans="21:23">
      <c r="U221" s="144">
        <v>188043</v>
      </c>
      <c r="V221" s="144">
        <v>-89374.2</v>
      </c>
      <c r="W221" s="143">
        <v>182.565</v>
      </c>
    </row>
    <row r="222" spans="21:23">
      <c r="U222" s="144">
        <v>199795</v>
      </c>
      <c r="V222" s="144">
        <v>-89374.2</v>
      </c>
      <c r="W222" s="143">
        <v>209.78</v>
      </c>
    </row>
    <row r="223" spans="21:23">
      <c r="U223" s="144">
        <v>211548</v>
      </c>
      <c r="V223" s="144">
        <v>-89374.2</v>
      </c>
      <c r="W223" s="143">
        <v>273.63</v>
      </c>
    </row>
    <row r="224" spans="21:23">
      <c r="U224" s="144">
        <v>223301</v>
      </c>
      <c r="V224" s="144">
        <v>-89374.2</v>
      </c>
      <c r="W224" s="143">
        <v>245.66</v>
      </c>
    </row>
    <row r="225" spans="21:23">
      <c r="U225" s="144">
        <v>235053</v>
      </c>
      <c r="V225" s="144">
        <v>-89374.2</v>
      </c>
      <c r="W225" s="143">
        <v>125.735</v>
      </c>
    </row>
    <row r="226" spans="21:23">
      <c r="U226" s="144">
        <v>246806</v>
      </c>
      <c r="V226" s="144">
        <v>-89374.2</v>
      </c>
      <c r="W226" s="143">
        <v>98.805000000000007</v>
      </c>
    </row>
    <row r="227" spans="21:23">
      <c r="U227" s="144">
        <v>258559</v>
      </c>
      <c r="V227" s="144">
        <v>-89374.2</v>
      </c>
      <c r="W227" s="143">
        <v>70.594999999999999</v>
      </c>
    </row>
    <row r="228" spans="21:23">
      <c r="U228" s="144">
        <v>270311</v>
      </c>
      <c r="V228" s="144">
        <v>-89374.2</v>
      </c>
      <c r="W228" s="143">
        <v>70.944999999999993</v>
      </c>
    </row>
    <row r="229" spans="21:23">
      <c r="U229" s="144">
        <v>282064</v>
      </c>
      <c r="V229" s="144">
        <v>-89374.2</v>
      </c>
      <c r="W229" s="143">
        <v>52.905000000000001</v>
      </c>
    </row>
    <row r="230" spans="21:23">
      <c r="U230" s="144">
        <v>293817</v>
      </c>
      <c r="V230" s="144">
        <v>-89374.2</v>
      </c>
      <c r="W230" s="143">
        <v>52.984999999999999</v>
      </c>
    </row>
    <row r="231" spans="21:23">
      <c r="U231" s="144">
        <v>305569</v>
      </c>
      <c r="V231" s="144">
        <v>-89374.2</v>
      </c>
      <c r="W231" s="143">
        <v>6.7450000000000001</v>
      </c>
    </row>
    <row r="232" spans="21:23">
      <c r="U232" s="144">
        <v>2.1692199999999998E-2</v>
      </c>
      <c r="V232" s="144">
        <v>-74771.899999999994</v>
      </c>
      <c r="W232" s="143">
        <v>16951400</v>
      </c>
    </row>
    <row r="233" spans="21:23">
      <c r="U233" s="144">
        <v>11752.7</v>
      </c>
      <c r="V233" s="144">
        <v>-74771.899999999994</v>
      </c>
      <c r="W233" s="143">
        <v>1720770</v>
      </c>
    </row>
    <row r="234" spans="21:23">
      <c r="U234" s="144">
        <v>23505.4</v>
      </c>
      <c r="V234" s="144">
        <v>-74771.899999999994</v>
      </c>
      <c r="W234" s="143">
        <v>725376</v>
      </c>
    </row>
    <row r="235" spans="21:23">
      <c r="U235" s="144">
        <v>35258</v>
      </c>
      <c r="V235" s="144">
        <v>-74771.899999999994</v>
      </c>
      <c r="W235" s="143">
        <v>282995</v>
      </c>
    </row>
    <row r="236" spans="21:23">
      <c r="U236" s="144">
        <v>47010.7</v>
      </c>
      <c r="V236" s="144">
        <v>-74771.899999999994</v>
      </c>
      <c r="W236" s="143">
        <v>134022</v>
      </c>
    </row>
    <row r="237" spans="21:23">
      <c r="U237" s="144">
        <v>58763.4</v>
      </c>
      <c r="V237" s="144">
        <v>-74771.899999999994</v>
      </c>
      <c r="W237" s="143">
        <v>75807</v>
      </c>
    </row>
    <row r="238" spans="21:23">
      <c r="U238" s="144">
        <v>70516</v>
      </c>
      <c r="V238" s="144">
        <v>-74771.899999999994</v>
      </c>
      <c r="W238" s="143">
        <v>41453.800000000003</v>
      </c>
    </row>
    <row r="239" spans="21:23">
      <c r="U239" s="144">
        <v>82268.7</v>
      </c>
      <c r="V239" s="144">
        <v>-74771.899999999994</v>
      </c>
      <c r="W239" s="143">
        <v>18023.599999999999</v>
      </c>
    </row>
    <row r="240" spans="21:23">
      <c r="U240" s="144">
        <v>94021.4</v>
      </c>
      <c r="V240" s="144">
        <v>-74771.899999999994</v>
      </c>
      <c r="W240" s="143">
        <v>10164.4</v>
      </c>
    </row>
    <row r="241" spans="21:23">
      <c r="U241" s="144">
        <v>105774</v>
      </c>
      <c r="V241" s="144">
        <v>-74771.899999999994</v>
      </c>
      <c r="W241" s="143">
        <v>6382.23</v>
      </c>
    </row>
    <row r="242" spans="21:23">
      <c r="U242" s="144">
        <v>117527</v>
      </c>
      <c r="V242" s="144">
        <v>-74771.899999999994</v>
      </c>
      <c r="W242" s="143">
        <v>3125.83</v>
      </c>
    </row>
    <row r="243" spans="21:23">
      <c r="U243" s="144">
        <v>129279</v>
      </c>
      <c r="V243" s="144">
        <v>-74771.899999999994</v>
      </c>
      <c r="W243" s="143">
        <v>938.245</v>
      </c>
    </row>
    <row r="244" spans="21:23">
      <c r="U244" s="144">
        <v>141032</v>
      </c>
      <c r="V244" s="144">
        <v>-74771.899999999994</v>
      </c>
      <c r="W244" s="143">
        <v>428.59500000000003</v>
      </c>
    </row>
    <row r="245" spans="21:23">
      <c r="U245" s="144">
        <v>152785</v>
      </c>
      <c r="V245" s="144">
        <v>-74771.899999999994</v>
      </c>
      <c r="W245" s="143">
        <v>253.095</v>
      </c>
    </row>
    <row r="246" spans="21:23">
      <c r="U246" s="144">
        <v>164537</v>
      </c>
      <c r="V246" s="144">
        <v>-74771.899999999994</v>
      </c>
      <c r="W246" s="143">
        <v>246.26499999999999</v>
      </c>
    </row>
    <row r="247" spans="21:23">
      <c r="U247" s="144">
        <v>176290</v>
      </c>
      <c r="V247" s="144">
        <v>-74771.899999999994</v>
      </c>
      <c r="W247" s="143">
        <v>147.91999999999999</v>
      </c>
    </row>
    <row r="248" spans="21:23">
      <c r="U248" s="144">
        <v>188043</v>
      </c>
      <c r="V248" s="144">
        <v>-74771.899999999994</v>
      </c>
      <c r="W248" s="143">
        <v>95.935000000000002</v>
      </c>
    </row>
    <row r="249" spans="21:23">
      <c r="U249" s="144">
        <v>199795</v>
      </c>
      <c r="V249" s="144">
        <v>-74771.899999999994</v>
      </c>
      <c r="W249" s="143">
        <v>75.305000000000007</v>
      </c>
    </row>
    <row r="250" spans="21:23">
      <c r="U250" s="144">
        <v>211548</v>
      </c>
      <c r="V250" s="144">
        <v>-74771.899999999994</v>
      </c>
      <c r="W250" s="143">
        <v>55.814999999999998</v>
      </c>
    </row>
    <row r="251" spans="21:23">
      <c r="U251" s="144">
        <v>223301</v>
      </c>
      <c r="V251" s="144">
        <v>-74771.899999999994</v>
      </c>
      <c r="W251" s="143">
        <v>16.265000000000001</v>
      </c>
    </row>
    <row r="252" spans="21:23">
      <c r="U252" s="144">
        <v>235053</v>
      </c>
      <c r="V252" s="144">
        <v>-74771.899999999994</v>
      </c>
      <c r="W252" s="143">
        <v>21.085000000000001</v>
      </c>
    </row>
    <row r="253" spans="21:23">
      <c r="U253" s="144">
        <v>246806</v>
      </c>
      <c r="V253" s="144">
        <v>-74771.899999999994</v>
      </c>
      <c r="W253" s="143">
        <v>7.65</v>
      </c>
    </row>
    <row r="254" spans="21:23">
      <c r="U254" s="144">
        <v>258559</v>
      </c>
      <c r="V254" s="144">
        <v>-74771.899999999994</v>
      </c>
      <c r="W254" s="143">
        <v>9.5</v>
      </c>
    </row>
    <row r="255" spans="21:23">
      <c r="U255" s="144">
        <v>270311</v>
      </c>
      <c r="V255" s="144">
        <v>-74771.899999999994</v>
      </c>
      <c r="W255" s="143">
        <v>6.4249999999999998</v>
      </c>
    </row>
    <row r="256" spans="21:23">
      <c r="U256" s="144">
        <v>282064</v>
      </c>
      <c r="V256" s="144">
        <v>-74771.899999999994</v>
      </c>
      <c r="W256" s="143">
        <v>0.28000000000000003</v>
      </c>
    </row>
    <row r="257" spans="21:23">
      <c r="U257" s="144">
        <v>293817</v>
      </c>
      <c r="V257" s="144">
        <v>-74771.899999999994</v>
      </c>
      <c r="W257" s="143">
        <v>22.125</v>
      </c>
    </row>
    <row r="258" spans="21:23">
      <c r="U258" s="144">
        <v>305569</v>
      </c>
      <c r="V258" s="144">
        <v>-74771.899999999994</v>
      </c>
      <c r="W258" s="143">
        <v>51.835000000000001</v>
      </c>
    </row>
    <row r="259" spans="21:23">
      <c r="U259" s="144">
        <v>317322</v>
      </c>
      <c r="V259" s="144">
        <v>-74771.899999999994</v>
      </c>
      <c r="W259" s="143">
        <v>1.6850000000000001</v>
      </c>
    </row>
    <row r="260" spans="21:23">
      <c r="U260" s="144">
        <v>340827</v>
      </c>
      <c r="V260" s="144">
        <v>-74771.899999999994</v>
      </c>
      <c r="W260" s="143">
        <v>42.145000000000003</v>
      </c>
    </row>
    <row r="261" spans="21:23">
      <c r="U261" s="144">
        <v>2.1692199999999998E-2</v>
      </c>
      <c r="V261" s="144">
        <v>-60169.599999999999</v>
      </c>
      <c r="W261" s="143">
        <v>15807500</v>
      </c>
    </row>
    <row r="262" spans="21:23">
      <c r="U262" s="144">
        <v>11752.7</v>
      </c>
      <c r="V262" s="144">
        <v>-60169.599999999999</v>
      </c>
      <c r="W262" s="143">
        <v>1598240</v>
      </c>
    </row>
    <row r="263" spans="21:23">
      <c r="U263" s="144">
        <v>23505.4</v>
      </c>
      <c r="V263" s="144">
        <v>-60169.599999999999</v>
      </c>
      <c r="W263" s="143">
        <v>807934</v>
      </c>
    </row>
    <row r="264" spans="21:23">
      <c r="U264" s="144">
        <v>35258</v>
      </c>
      <c r="V264" s="144">
        <v>-60169.599999999999</v>
      </c>
      <c r="W264" s="143">
        <v>258445</v>
      </c>
    </row>
    <row r="265" spans="21:23">
      <c r="U265" s="144">
        <v>47010.7</v>
      </c>
      <c r="V265" s="144">
        <v>-60169.599999999999</v>
      </c>
      <c r="W265" s="143">
        <v>88310.8</v>
      </c>
    </row>
    <row r="266" spans="21:23">
      <c r="U266" s="144">
        <v>58763.4</v>
      </c>
      <c r="V266" s="144">
        <v>-60169.599999999999</v>
      </c>
      <c r="W266" s="143">
        <v>34298.400000000001</v>
      </c>
    </row>
    <row r="267" spans="21:23">
      <c r="U267" s="144">
        <v>70516</v>
      </c>
      <c r="V267" s="144">
        <v>-60169.599999999999</v>
      </c>
      <c r="W267" s="143">
        <v>17597.7</v>
      </c>
    </row>
    <row r="268" spans="21:23">
      <c r="U268" s="144">
        <v>82268.7</v>
      </c>
      <c r="V268" s="144">
        <v>-60169.599999999999</v>
      </c>
      <c r="W268" s="143">
        <v>9535.84</v>
      </c>
    </row>
    <row r="269" spans="21:23">
      <c r="U269" s="144">
        <v>94021.4</v>
      </c>
      <c r="V269" s="144">
        <v>-60169.599999999999</v>
      </c>
      <c r="W269" s="143">
        <v>5076.9399999999996</v>
      </c>
    </row>
    <row r="270" spans="21:23">
      <c r="U270" s="144">
        <v>105774</v>
      </c>
      <c r="V270" s="144">
        <v>-60169.599999999999</v>
      </c>
      <c r="W270" s="143">
        <v>1744.07</v>
      </c>
    </row>
    <row r="271" spans="21:23">
      <c r="U271" s="144">
        <v>117527</v>
      </c>
      <c r="V271" s="144">
        <v>-60169.599999999999</v>
      </c>
      <c r="W271" s="143">
        <v>1467.69</v>
      </c>
    </row>
    <row r="272" spans="21:23">
      <c r="U272" s="144">
        <v>129279</v>
      </c>
      <c r="V272" s="144">
        <v>-60169.599999999999</v>
      </c>
      <c r="W272" s="143">
        <v>877.55</v>
      </c>
    </row>
    <row r="273" spans="21:23">
      <c r="U273" s="144">
        <v>141032</v>
      </c>
      <c r="V273" s="144">
        <v>-60169.599999999999</v>
      </c>
      <c r="W273" s="143">
        <v>544.61500000000001</v>
      </c>
    </row>
    <row r="274" spans="21:23">
      <c r="U274" s="144">
        <v>152785</v>
      </c>
      <c r="V274" s="144">
        <v>-60169.599999999999</v>
      </c>
      <c r="W274" s="143">
        <v>260.125</v>
      </c>
    </row>
    <row r="275" spans="21:23">
      <c r="U275" s="144">
        <v>164537</v>
      </c>
      <c r="V275" s="144">
        <v>-60169.599999999999</v>
      </c>
      <c r="W275" s="143">
        <v>137.55000000000001</v>
      </c>
    </row>
    <row r="276" spans="21:23">
      <c r="U276" s="144">
        <v>176290</v>
      </c>
      <c r="V276" s="144">
        <v>-60169.599999999999</v>
      </c>
      <c r="W276" s="143">
        <v>111.735</v>
      </c>
    </row>
    <row r="277" spans="21:23">
      <c r="U277" s="144">
        <v>188043</v>
      </c>
      <c r="V277" s="144">
        <v>-60169.599999999999</v>
      </c>
      <c r="W277" s="143">
        <v>54.185000000000002</v>
      </c>
    </row>
    <row r="278" spans="21:23">
      <c r="U278" s="144">
        <v>199795</v>
      </c>
      <c r="V278" s="144">
        <v>-60169.599999999999</v>
      </c>
      <c r="W278" s="143">
        <v>55.75</v>
      </c>
    </row>
    <row r="279" spans="21:23">
      <c r="U279" s="144">
        <v>211548</v>
      </c>
      <c r="V279" s="144">
        <v>-60169.599999999999</v>
      </c>
      <c r="W279" s="143">
        <v>17.965</v>
      </c>
    </row>
    <row r="280" spans="21:23">
      <c r="U280" s="144">
        <v>223301</v>
      </c>
      <c r="V280" s="144">
        <v>-60169.599999999999</v>
      </c>
      <c r="W280" s="143">
        <v>4.4450000000000003</v>
      </c>
    </row>
    <row r="281" spans="21:23">
      <c r="U281" s="144">
        <v>235053</v>
      </c>
      <c r="V281" s="144">
        <v>-60169.599999999999</v>
      </c>
      <c r="W281" s="143">
        <v>4.41</v>
      </c>
    </row>
    <row r="282" spans="21:23">
      <c r="U282" s="144">
        <v>246806</v>
      </c>
      <c r="V282" s="144">
        <v>-60169.599999999999</v>
      </c>
      <c r="W282" s="143">
        <v>7.36</v>
      </c>
    </row>
    <row r="283" spans="21:23">
      <c r="U283" s="144">
        <v>258559</v>
      </c>
      <c r="V283" s="144">
        <v>-60169.599999999999</v>
      </c>
      <c r="W283" s="143">
        <v>62.2</v>
      </c>
    </row>
    <row r="284" spans="21:23">
      <c r="U284" s="144">
        <v>270311</v>
      </c>
      <c r="V284" s="144">
        <v>-60169.599999999999</v>
      </c>
      <c r="W284" s="143">
        <v>0.27500000000000002</v>
      </c>
    </row>
    <row r="285" spans="21:23">
      <c r="U285" s="144">
        <v>282064</v>
      </c>
      <c r="V285" s="144">
        <v>-60169.599999999999</v>
      </c>
      <c r="W285" s="143">
        <v>0.26</v>
      </c>
    </row>
    <row r="286" spans="21:23">
      <c r="U286" s="144">
        <v>293817</v>
      </c>
      <c r="V286" s="144">
        <v>-60169.599999999999</v>
      </c>
      <c r="W286" s="143">
        <v>0.33</v>
      </c>
    </row>
    <row r="287" spans="21:23">
      <c r="U287" s="144">
        <v>340827</v>
      </c>
      <c r="V287" s="144">
        <v>-60169.599999999999</v>
      </c>
      <c r="W287" s="143">
        <v>3.37</v>
      </c>
    </row>
    <row r="288" spans="21:23">
      <c r="U288" s="144">
        <v>2.1692199999999998E-2</v>
      </c>
      <c r="V288" s="144">
        <v>-45567.199999999997</v>
      </c>
      <c r="W288" s="143">
        <v>18614600</v>
      </c>
    </row>
    <row r="289" spans="21:23">
      <c r="U289" s="144">
        <v>11752.7</v>
      </c>
      <c r="V289" s="144">
        <v>-45567.199999999997</v>
      </c>
      <c r="W289" s="143">
        <v>2020700</v>
      </c>
    </row>
    <row r="290" spans="21:23">
      <c r="U290" s="144">
        <v>23505.4</v>
      </c>
      <c r="V290" s="144">
        <v>-45567.199999999997</v>
      </c>
      <c r="W290" s="143">
        <v>983531</v>
      </c>
    </row>
    <row r="291" spans="21:23">
      <c r="U291" s="144">
        <v>35258</v>
      </c>
      <c r="V291" s="144">
        <v>-45567.199999999997</v>
      </c>
      <c r="W291" s="143">
        <v>332685</v>
      </c>
    </row>
    <row r="292" spans="21:23">
      <c r="U292" s="144">
        <v>47010.7</v>
      </c>
      <c r="V292" s="144">
        <v>-45567.199999999997</v>
      </c>
      <c r="W292" s="143">
        <v>118968</v>
      </c>
    </row>
    <row r="293" spans="21:23">
      <c r="U293" s="144">
        <v>58763.4</v>
      </c>
      <c r="V293" s="144">
        <v>-45567.199999999997</v>
      </c>
      <c r="W293" s="143">
        <v>64046.8</v>
      </c>
    </row>
    <row r="294" spans="21:23">
      <c r="U294" s="144">
        <v>70516</v>
      </c>
      <c r="V294" s="144">
        <v>-45567.199999999997</v>
      </c>
      <c r="W294" s="143">
        <v>43069.8</v>
      </c>
    </row>
    <row r="295" spans="21:23">
      <c r="U295" s="144">
        <v>82268.7</v>
      </c>
      <c r="V295" s="144">
        <v>-45567.199999999997</v>
      </c>
      <c r="W295" s="143">
        <v>31738.3</v>
      </c>
    </row>
    <row r="296" spans="21:23">
      <c r="U296" s="144">
        <v>94021.4</v>
      </c>
      <c r="V296" s="144">
        <v>-45567.199999999997</v>
      </c>
      <c r="W296" s="143">
        <v>29306.5</v>
      </c>
    </row>
    <row r="297" spans="21:23">
      <c r="U297" s="144">
        <v>105774</v>
      </c>
      <c r="V297" s="144">
        <v>-45567.199999999997</v>
      </c>
      <c r="W297" s="143">
        <v>19872.599999999999</v>
      </c>
    </row>
    <row r="298" spans="21:23">
      <c r="U298" s="144">
        <v>117527</v>
      </c>
      <c r="V298" s="144">
        <v>-45567.199999999997</v>
      </c>
      <c r="W298" s="143">
        <v>15624.9</v>
      </c>
    </row>
    <row r="299" spans="21:23">
      <c r="U299" s="144">
        <v>129279</v>
      </c>
      <c r="V299" s="144">
        <v>-45567.199999999997</v>
      </c>
      <c r="W299" s="143">
        <v>17740.3</v>
      </c>
    </row>
    <row r="300" spans="21:23">
      <c r="U300" s="144">
        <v>141032</v>
      </c>
      <c r="V300" s="144">
        <v>-45567.199999999997</v>
      </c>
      <c r="W300" s="143">
        <v>8415.7800000000007</v>
      </c>
    </row>
    <row r="301" spans="21:23">
      <c r="U301" s="144">
        <v>152785</v>
      </c>
      <c r="V301" s="144">
        <v>-45567.199999999997</v>
      </c>
      <c r="W301" s="143">
        <v>9504.07</v>
      </c>
    </row>
    <row r="302" spans="21:23">
      <c r="U302" s="144">
        <v>164537</v>
      </c>
      <c r="V302" s="144">
        <v>-45567.199999999997</v>
      </c>
      <c r="W302" s="143">
        <v>4432.49</v>
      </c>
    </row>
    <row r="303" spans="21:23">
      <c r="U303" s="144">
        <v>176290</v>
      </c>
      <c r="V303" s="144">
        <v>-45567.199999999997</v>
      </c>
      <c r="W303" s="143">
        <v>2193.62</v>
      </c>
    </row>
    <row r="304" spans="21:23">
      <c r="U304" s="144">
        <v>188043</v>
      </c>
      <c r="V304" s="144">
        <v>-45567.199999999997</v>
      </c>
      <c r="W304" s="143">
        <v>1334.65</v>
      </c>
    </row>
    <row r="305" spans="21:23">
      <c r="U305" s="144">
        <v>199795</v>
      </c>
      <c r="V305" s="144">
        <v>-45567.199999999997</v>
      </c>
      <c r="W305" s="143">
        <v>888.58500000000004</v>
      </c>
    </row>
    <row r="306" spans="21:23">
      <c r="U306" s="144">
        <v>211548</v>
      </c>
      <c r="V306" s="144">
        <v>-45567.199999999997</v>
      </c>
      <c r="W306" s="143">
        <v>987.77</v>
      </c>
    </row>
    <row r="307" spans="21:23">
      <c r="U307" s="144">
        <v>223301</v>
      </c>
      <c r="V307" s="144">
        <v>-45567.199999999997</v>
      </c>
      <c r="W307" s="143">
        <v>671.12</v>
      </c>
    </row>
    <row r="308" spans="21:23">
      <c r="U308" s="144">
        <v>235053</v>
      </c>
      <c r="V308" s="144">
        <v>-45567.199999999997</v>
      </c>
      <c r="W308" s="143">
        <v>499.53500000000003</v>
      </c>
    </row>
    <row r="309" spans="21:23">
      <c r="U309" s="144">
        <v>246806</v>
      </c>
      <c r="V309" s="144">
        <v>-45567.199999999997</v>
      </c>
      <c r="W309" s="143">
        <v>214.29</v>
      </c>
    </row>
    <row r="310" spans="21:23">
      <c r="U310" s="144">
        <v>258559</v>
      </c>
      <c r="V310" s="144">
        <v>-45567.199999999997</v>
      </c>
      <c r="W310" s="143">
        <v>200.81</v>
      </c>
    </row>
    <row r="311" spans="21:23">
      <c r="U311" s="144">
        <v>282064</v>
      </c>
      <c r="V311" s="144">
        <v>-45567.199999999997</v>
      </c>
      <c r="W311" s="143">
        <v>94.215000000000003</v>
      </c>
    </row>
    <row r="312" spans="21:23">
      <c r="U312" s="144">
        <v>293817</v>
      </c>
      <c r="V312" s="144">
        <v>-45567.199999999997</v>
      </c>
      <c r="W312" s="143">
        <v>27.855</v>
      </c>
    </row>
    <row r="313" spans="21:23">
      <c r="U313" s="144">
        <v>305569</v>
      </c>
      <c r="V313" s="144">
        <v>-45567.199999999997</v>
      </c>
      <c r="W313" s="143">
        <v>56.02</v>
      </c>
    </row>
    <row r="314" spans="21:23">
      <c r="U314" s="144">
        <v>317322</v>
      </c>
      <c r="V314" s="144">
        <v>-45567.199999999997</v>
      </c>
      <c r="W314" s="143">
        <v>28.12</v>
      </c>
    </row>
    <row r="315" spans="21:23">
      <c r="U315" s="144">
        <v>340827</v>
      </c>
      <c r="V315" s="144">
        <v>-45567.199999999997</v>
      </c>
      <c r="W315" s="143">
        <v>0.06</v>
      </c>
    </row>
    <row r="316" spans="21:23">
      <c r="U316" s="144">
        <v>352580</v>
      </c>
      <c r="V316" s="144">
        <v>-45567.199999999997</v>
      </c>
      <c r="W316" s="143">
        <v>56.765000000000001</v>
      </c>
    </row>
    <row r="317" spans="21:23">
      <c r="U317" s="144">
        <v>364333</v>
      </c>
      <c r="V317" s="144">
        <v>-45567.199999999997</v>
      </c>
      <c r="W317" s="143">
        <v>6.5000000000000002E-2</v>
      </c>
    </row>
    <row r="318" spans="21:23">
      <c r="U318" s="144">
        <v>387838</v>
      </c>
      <c r="V318" s="144">
        <v>-45567.199999999997</v>
      </c>
      <c r="W318" s="143">
        <v>6.5000000000000002E-2</v>
      </c>
    </row>
    <row r="319" spans="21:23">
      <c r="U319" s="144">
        <v>2.1692199999999998E-2</v>
      </c>
      <c r="V319" s="144">
        <v>-30964.9</v>
      </c>
      <c r="W319" s="143">
        <v>23002600</v>
      </c>
    </row>
    <row r="320" spans="21:23">
      <c r="U320" s="144">
        <v>11752.7</v>
      </c>
      <c r="V320" s="144">
        <v>-30964.9</v>
      </c>
      <c r="W320" s="143">
        <v>3314580</v>
      </c>
    </row>
    <row r="321" spans="21:23">
      <c r="U321" s="144">
        <v>23505.4</v>
      </c>
      <c r="V321" s="144">
        <v>-30964.9</v>
      </c>
      <c r="W321" s="143">
        <v>2261420</v>
      </c>
    </row>
    <row r="322" spans="21:23">
      <c r="U322" s="144">
        <v>35258</v>
      </c>
      <c r="V322" s="144">
        <v>-30964.9</v>
      </c>
      <c r="W322" s="143">
        <v>1549090</v>
      </c>
    </row>
    <row r="323" spans="21:23">
      <c r="U323" s="144">
        <v>47010.7</v>
      </c>
      <c r="V323" s="144">
        <v>-30964.9</v>
      </c>
      <c r="W323" s="143">
        <v>1114520</v>
      </c>
    </row>
    <row r="324" spans="21:23">
      <c r="U324" s="144">
        <v>58763.4</v>
      </c>
      <c r="V324" s="144">
        <v>-30964.9</v>
      </c>
      <c r="W324" s="143">
        <v>809264</v>
      </c>
    </row>
    <row r="325" spans="21:23">
      <c r="U325" s="144">
        <v>70516</v>
      </c>
      <c r="V325" s="144">
        <v>-30964.9</v>
      </c>
      <c r="W325" s="143">
        <v>543706</v>
      </c>
    </row>
    <row r="326" spans="21:23">
      <c r="U326" s="144">
        <v>82268.7</v>
      </c>
      <c r="V326" s="144">
        <v>-30964.9</v>
      </c>
      <c r="W326" s="143">
        <v>320282</v>
      </c>
    </row>
    <row r="327" spans="21:23">
      <c r="U327" s="144">
        <v>94021.4</v>
      </c>
      <c r="V327" s="144">
        <v>-30964.9</v>
      </c>
      <c r="W327" s="143">
        <v>224961</v>
      </c>
    </row>
    <row r="328" spans="21:23">
      <c r="U328" s="144">
        <v>105774</v>
      </c>
      <c r="V328" s="144">
        <v>-30964.9</v>
      </c>
      <c r="W328" s="143">
        <v>155979</v>
      </c>
    </row>
    <row r="329" spans="21:23">
      <c r="U329" s="144">
        <v>117527</v>
      </c>
      <c r="V329" s="144">
        <v>-30964.9</v>
      </c>
      <c r="W329" s="143">
        <v>107721</v>
      </c>
    </row>
    <row r="330" spans="21:23">
      <c r="U330" s="144">
        <v>129279</v>
      </c>
      <c r="V330" s="144">
        <v>-30964.9</v>
      </c>
      <c r="W330" s="143">
        <v>82501.5</v>
      </c>
    </row>
    <row r="331" spans="21:23">
      <c r="U331" s="144">
        <v>141032</v>
      </c>
      <c r="V331" s="144">
        <v>-30964.9</v>
      </c>
      <c r="W331" s="143">
        <v>60193</v>
      </c>
    </row>
    <row r="332" spans="21:23">
      <c r="U332" s="144">
        <v>152785</v>
      </c>
      <c r="V332" s="144">
        <v>-30964.9</v>
      </c>
      <c r="W332" s="143">
        <v>45259.4</v>
      </c>
    </row>
    <row r="333" spans="21:23">
      <c r="U333" s="144">
        <v>164537</v>
      </c>
      <c r="V333" s="144">
        <v>-30964.9</v>
      </c>
      <c r="W333" s="143">
        <v>38173.800000000003</v>
      </c>
    </row>
    <row r="334" spans="21:23">
      <c r="U334" s="144">
        <v>176290</v>
      </c>
      <c r="V334" s="144">
        <v>-30964.9</v>
      </c>
      <c r="W334" s="143">
        <v>32836</v>
      </c>
    </row>
    <row r="335" spans="21:23">
      <c r="U335" s="144">
        <v>188043</v>
      </c>
      <c r="V335" s="144">
        <v>-30964.9</v>
      </c>
      <c r="W335" s="143">
        <v>26027.8</v>
      </c>
    </row>
    <row r="336" spans="21:23">
      <c r="U336" s="144">
        <v>199795</v>
      </c>
      <c r="V336" s="144">
        <v>-30964.9</v>
      </c>
      <c r="W336" s="143">
        <v>18366.2</v>
      </c>
    </row>
    <row r="337" spans="21:23">
      <c r="U337" s="144">
        <v>211548</v>
      </c>
      <c r="V337" s="144">
        <v>-30964.9</v>
      </c>
      <c r="W337" s="143">
        <v>13915.3</v>
      </c>
    </row>
    <row r="338" spans="21:23">
      <c r="U338" s="144">
        <v>223301</v>
      </c>
      <c r="V338" s="144">
        <v>-30964.9</v>
      </c>
      <c r="W338" s="143">
        <v>8663.41</v>
      </c>
    </row>
    <row r="339" spans="21:23">
      <c r="U339" s="144">
        <v>235053</v>
      </c>
      <c r="V339" s="144">
        <v>-30964.9</v>
      </c>
      <c r="W339" s="143">
        <v>5612.63</v>
      </c>
    </row>
    <row r="340" spans="21:23">
      <c r="U340" s="144">
        <v>246806</v>
      </c>
      <c r="V340" s="144">
        <v>-30964.9</v>
      </c>
      <c r="W340" s="143">
        <v>3514.52</v>
      </c>
    </row>
    <row r="341" spans="21:23">
      <c r="U341" s="144">
        <v>258559</v>
      </c>
      <c r="V341" s="144">
        <v>-30964.9</v>
      </c>
      <c r="W341" s="143">
        <v>2996.61</v>
      </c>
    </row>
    <row r="342" spans="21:23">
      <c r="U342" s="144">
        <v>270311</v>
      </c>
      <c r="V342" s="144">
        <v>-30964.9</v>
      </c>
      <c r="W342" s="143">
        <v>1433.21</v>
      </c>
    </row>
    <row r="343" spans="21:23">
      <c r="U343" s="144">
        <v>282064</v>
      </c>
      <c r="V343" s="144">
        <v>-30964.9</v>
      </c>
      <c r="W343" s="143">
        <v>1844.91</v>
      </c>
    </row>
    <row r="344" spans="21:23">
      <c r="U344" s="144">
        <v>293817</v>
      </c>
      <c r="V344" s="144">
        <v>-30964.9</v>
      </c>
      <c r="W344" s="143">
        <v>1036.8599999999999</v>
      </c>
    </row>
    <row r="345" spans="21:23">
      <c r="U345" s="144">
        <v>305569</v>
      </c>
      <c r="V345" s="144">
        <v>-30964.9</v>
      </c>
      <c r="W345" s="143">
        <v>1121.42</v>
      </c>
    </row>
    <row r="346" spans="21:23">
      <c r="U346" s="144">
        <v>317322</v>
      </c>
      <c r="V346" s="144">
        <v>-30964.9</v>
      </c>
      <c r="W346" s="143">
        <v>1039.51</v>
      </c>
    </row>
    <row r="347" spans="21:23">
      <c r="U347" s="144">
        <v>329075</v>
      </c>
      <c r="V347" s="144">
        <v>-30964.9</v>
      </c>
      <c r="W347" s="143">
        <v>398.22</v>
      </c>
    </row>
    <row r="348" spans="21:23">
      <c r="U348" s="144">
        <v>340827</v>
      </c>
      <c r="V348" s="144">
        <v>-30964.9</v>
      </c>
      <c r="W348" s="143">
        <v>637.57000000000005</v>
      </c>
    </row>
    <row r="349" spans="21:23">
      <c r="U349" s="144">
        <v>352580</v>
      </c>
      <c r="V349" s="144">
        <v>-30964.9</v>
      </c>
      <c r="W349" s="143">
        <v>153.01</v>
      </c>
    </row>
    <row r="350" spans="21:23">
      <c r="U350" s="144">
        <v>364333</v>
      </c>
      <c r="V350" s="144">
        <v>-30964.9</v>
      </c>
      <c r="W350" s="143">
        <v>225.89</v>
      </c>
    </row>
    <row r="351" spans="21:23">
      <c r="U351" s="144">
        <v>376085</v>
      </c>
      <c r="V351" s="144">
        <v>-30964.9</v>
      </c>
      <c r="W351" s="143">
        <v>0.33</v>
      </c>
    </row>
    <row r="352" spans="21:23">
      <c r="U352" s="144">
        <v>399591</v>
      </c>
      <c r="V352" s="144">
        <v>-30964.9</v>
      </c>
      <c r="W352" s="143">
        <v>336.40499999999997</v>
      </c>
    </row>
    <row r="353" spans="21:23">
      <c r="U353" s="144">
        <v>411343</v>
      </c>
      <c r="V353" s="144">
        <v>-30964.9</v>
      </c>
      <c r="W353" s="143">
        <v>417.66</v>
      </c>
    </row>
    <row r="354" spans="21:23">
      <c r="U354" s="144">
        <v>423096</v>
      </c>
      <c r="V354" s="144">
        <v>-30964.9</v>
      </c>
      <c r="W354" s="143">
        <v>57.085000000000001</v>
      </c>
    </row>
    <row r="355" spans="21:23">
      <c r="U355" s="144">
        <v>434849</v>
      </c>
      <c r="V355" s="144">
        <v>-30964.9</v>
      </c>
      <c r="W355" s="143">
        <v>0.06</v>
      </c>
    </row>
    <row r="356" spans="21:23">
      <c r="U356" s="144">
        <v>2.1692199999999998E-2</v>
      </c>
      <c r="V356" s="144">
        <v>-16362.5</v>
      </c>
      <c r="W356" s="143">
        <v>29431100</v>
      </c>
    </row>
    <row r="357" spans="21:23">
      <c r="U357" s="144">
        <v>11752.7</v>
      </c>
      <c r="V357" s="144">
        <v>-16362.5</v>
      </c>
      <c r="W357" s="143">
        <v>4688560</v>
      </c>
    </row>
    <row r="358" spans="21:23">
      <c r="U358" s="144">
        <v>23505.4</v>
      </c>
      <c r="V358" s="144">
        <v>-16362.5</v>
      </c>
      <c r="W358" s="143">
        <v>3081830</v>
      </c>
    </row>
    <row r="359" spans="21:23">
      <c r="U359" s="144">
        <v>35258</v>
      </c>
      <c r="V359" s="144">
        <v>-16362.5</v>
      </c>
      <c r="W359" s="143">
        <v>1655610</v>
      </c>
    </row>
    <row r="360" spans="21:23">
      <c r="U360" s="144">
        <v>47010.7</v>
      </c>
      <c r="V360" s="144">
        <v>-16362.5</v>
      </c>
      <c r="W360" s="143">
        <v>863243</v>
      </c>
    </row>
    <row r="361" spans="21:23">
      <c r="U361" s="144">
        <v>58763.4</v>
      </c>
      <c r="V361" s="144">
        <v>-16362.5</v>
      </c>
      <c r="W361" s="143">
        <v>552312</v>
      </c>
    </row>
    <row r="362" spans="21:23">
      <c r="U362" s="144">
        <v>70516</v>
      </c>
      <c r="V362" s="144">
        <v>-16362.5</v>
      </c>
      <c r="W362" s="143">
        <v>240676</v>
      </c>
    </row>
    <row r="363" spans="21:23">
      <c r="U363" s="144">
        <v>82268.7</v>
      </c>
      <c r="V363" s="144">
        <v>-16362.5</v>
      </c>
      <c r="W363" s="143">
        <v>155522</v>
      </c>
    </row>
    <row r="364" spans="21:23">
      <c r="U364" s="144">
        <v>94021.4</v>
      </c>
      <c r="V364" s="144">
        <v>-16362.5</v>
      </c>
      <c r="W364" s="143">
        <v>115525</v>
      </c>
    </row>
    <row r="365" spans="21:23">
      <c r="U365" s="144">
        <v>105774</v>
      </c>
      <c r="V365" s="144">
        <v>-16362.5</v>
      </c>
      <c r="W365" s="143">
        <v>86957.3</v>
      </c>
    </row>
    <row r="366" spans="21:23">
      <c r="U366" s="144">
        <v>117527</v>
      </c>
      <c r="V366" s="144">
        <v>-16362.5</v>
      </c>
      <c r="W366" s="143">
        <v>58525.4</v>
      </c>
    </row>
    <row r="367" spans="21:23">
      <c r="U367" s="144">
        <v>129279</v>
      </c>
      <c r="V367" s="144">
        <v>-16362.5</v>
      </c>
      <c r="W367" s="143">
        <v>44945.3</v>
      </c>
    </row>
    <row r="368" spans="21:23">
      <c r="U368" s="144">
        <v>141032</v>
      </c>
      <c r="V368" s="144">
        <v>-16362.5</v>
      </c>
      <c r="W368" s="143">
        <v>44336.5</v>
      </c>
    </row>
    <row r="369" spans="21:23">
      <c r="U369" s="144">
        <v>152785</v>
      </c>
      <c r="V369" s="144">
        <v>-16362.5</v>
      </c>
      <c r="W369" s="143">
        <v>30446</v>
      </c>
    </row>
    <row r="370" spans="21:23">
      <c r="U370" s="144">
        <v>164537</v>
      </c>
      <c r="V370" s="144">
        <v>-16362.5</v>
      </c>
      <c r="W370" s="143">
        <v>25420.6</v>
      </c>
    </row>
    <row r="371" spans="21:23">
      <c r="U371" s="144">
        <v>176290</v>
      </c>
      <c r="V371" s="144">
        <v>-16362.5</v>
      </c>
      <c r="W371" s="143">
        <v>19730.8</v>
      </c>
    </row>
    <row r="372" spans="21:23">
      <c r="U372" s="144">
        <v>188043</v>
      </c>
      <c r="V372" s="144">
        <v>-16362.5</v>
      </c>
      <c r="W372" s="143">
        <v>16831</v>
      </c>
    </row>
    <row r="373" spans="21:23">
      <c r="U373" s="144">
        <v>199795</v>
      </c>
      <c r="V373" s="144">
        <v>-16362.5</v>
      </c>
      <c r="W373" s="143">
        <v>13945.7</v>
      </c>
    </row>
    <row r="374" spans="21:23">
      <c r="U374" s="144">
        <v>211548</v>
      </c>
      <c r="V374" s="144">
        <v>-16362.5</v>
      </c>
      <c r="W374" s="143">
        <v>9463.18</v>
      </c>
    </row>
    <row r="375" spans="21:23">
      <c r="U375" s="144">
        <v>223301</v>
      </c>
      <c r="V375" s="144">
        <v>-16362.5</v>
      </c>
      <c r="W375" s="143">
        <v>8420.2800000000007</v>
      </c>
    </row>
    <row r="376" spans="21:23">
      <c r="U376" s="144">
        <v>235053</v>
      </c>
      <c r="V376" s="144">
        <v>-16362.5</v>
      </c>
      <c r="W376" s="143">
        <v>5695.81</v>
      </c>
    </row>
    <row r="377" spans="21:23">
      <c r="U377" s="144">
        <v>246806</v>
      </c>
      <c r="V377" s="144">
        <v>-16362.5</v>
      </c>
      <c r="W377" s="143">
        <v>4581.67</v>
      </c>
    </row>
    <row r="378" spans="21:23">
      <c r="U378" s="144">
        <v>258559</v>
      </c>
      <c r="V378" s="144">
        <v>-16362.5</v>
      </c>
      <c r="W378" s="143">
        <v>3963.67</v>
      </c>
    </row>
    <row r="379" spans="21:23">
      <c r="U379" s="144">
        <v>270311</v>
      </c>
      <c r="V379" s="144">
        <v>-16362.5</v>
      </c>
      <c r="W379" s="143">
        <v>3360.18</v>
      </c>
    </row>
    <row r="380" spans="21:23">
      <c r="U380" s="144">
        <v>282064</v>
      </c>
      <c r="V380" s="144">
        <v>-16362.5</v>
      </c>
      <c r="W380" s="143">
        <v>1651.97</v>
      </c>
    </row>
    <row r="381" spans="21:23">
      <c r="U381" s="144">
        <v>293817</v>
      </c>
      <c r="V381" s="144">
        <v>-16362.5</v>
      </c>
      <c r="W381" s="143">
        <v>1509.99</v>
      </c>
    </row>
    <row r="382" spans="21:23">
      <c r="U382" s="144">
        <v>305569</v>
      </c>
      <c r="V382" s="144">
        <v>-16362.5</v>
      </c>
      <c r="W382" s="143">
        <v>1170.3</v>
      </c>
    </row>
    <row r="383" spans="21:23">
      <c r="U383" s="144">
        <v>317322</v>
      </c>
      <c r="V383" s="144">
        <v>-16362.5</v>
      </c>
      <c r="W383" s="143">
        <v>500.32499999999999</v>
      </c>
    </row>
    <row r="384" spans="21:23">
      <c r="U384" s="144">
        <v>329075</v>
      </c>
      <c r="V384" s="144">
        <v>-16362.5</v>
      </c>
      <c r="W384" s="143">
        <v>578.08000000000004</v>
      </c>
    </row>
    <row r="385" spans="21:23">
      <c r="U385" s="144">
        <v>340827</v>
      </c>
      <c r="V385" s="144">
        <v>-16362.5</v>
      </c>
      <c r="W385" s="143">
        <v>856.73</v>
      </c>
    </row>
    <row r="386" spans="21:23">
      <c r="U386" s="144">
        <v>352580</v>
      </c>
      <c r="V386" s="144">
        <v>-16362.5</v>
      </c>
      <c r="W386" s="143">
        <v>483.70499999999998</v>
      </c>
    </row>
    <row r="387" spans="21:23">
      <c r="U387" s="144">
        <v>364333</v>
      </c>
      <c r="V387" s="144">
        <v>-16362.5</v>
      </c>
      <c r="W387" s="143">
        <v>246.47499999999999</v>
      </c>
    </row>
    <row r="388" spans="21:23">
      <c r="U388" s="144">
        <v>376085</v>
      </c>
      <c r="V388" s="144">
        <v>-16362.5</v>
      </c>
      <c r="W388" s="143">
        <v>188.9</v>
      </c>
    </row>
    <row r="389" spans="21:23">
      <c r="U389" s="144">
        <v>387838</v>
      </c>
      <c r="V389" s="144">
        <v>-16362.5</v>
      </c>
      <c r="W389" s="143">
        <v>366.93</v>
      </c>
    </row>
    <row r="390" spans="21:23">
      <c r="U390" s="144">
        <v>399591</v>
      </c>
      <c r="V390" s="144">
        <v>-16362.5</v>
      </c>
      <c r="W390" s="143">
        <v>18.574999999999999</v>
      </c>
    </row>
    <row r="391" spans="21:23">
      <c r="U391" s="144">
        <v>411343</v>
      </c>
      <c r="V391" s="144">
        <v>-16362.5</v>
      </c>
      <c r="W391" s="143">
        <v>19.204999999999998</v>
      </c>
    </row>
    <row r="392" spans="21:23">
      <c r="U392" s="144">
        <v>423096</v>
      </c>
      <c r="V392" s="144">
        <v>-16362.5</v>
      </c>
      <c r="W392" s="143">
        <v>77.22</v>
      </c>
    </row>
    <row r="393" spans="21:23">
      <c r="U393" s="144">
        <v>434849</v>
      </c>
      <c r="V393" s="144">
        <v>-16362.5</v>
      </c>
      <c r="W393" s="143">
        <v>18.925000000000001</v>
      </c>
    </row>
    <row r="394" spans="21:23">
      <c r="U394" s="144">
        <v>446601</v>
      </c>
      <c r="V394" s="144">
        <v>-16362.5</v>
      </c>
      <c r="W394" s="143">
        <v>22.31</v>
      </c>
    </row>
    <row r="395" spans="21:23">
      <c r="U395" s="144">
        <v>458354</v>
      </c>
      <c r="V395" s="144">
        <v>-16362.5</v>
      </c>
      <c r="W395" s="143">
        <v>10.71</v>
      </c>
    </row>
    <row r="396" spans="21:23">
      <c r="U396" s="144">
        <v>470107</v>
      </c>
      <c r="V396" s="144">
        <v>-16362.5</v>
      </c>
      <c r="W396" s="143">
        <v>5.12</v>
      </c>
    </row>
    <row r="397" spans="21:23">
      <c r="U397" s="144">
        <v>481859</v>
      </c>
      <c r="V397" s="144">
        <v>-16362.5</v>
      </c>
      <c r="W397" s="143">
        <v>0.125</v>
      </c>
    </row>
    <row r="398" spans="21:23">
      <c r="U398" s="144">
        <v>493612</v>
      </c>
      <c r="V398" s="144">
        <v>-16362.5</v>
      </c>
      <c r="W398" s="143">
        <v>0.4</v>
      </c>
    </row>
    <row r="399" spans="21:23">
      <c r="U399" s="144">
        <v>505365</v>
      </c>
      <c r="V399" s="144">
        <v>-16362.5</v>
      </c>
      <c r="W399" s="143">
        <v>0.32500000000000001</v>
      </c>
    </row>
    <row r="400" spans="21:23">
      <c r="U400" s="144">
        <v>517117</v>
      </c>
      <c r="V400" s="144">
        <v>-16362.5</v>
      </c>
      <c r="W400" s="143">
        <v>0.12</v>
      </c>
    </row>
    <row r="401" spans="21:23">
      <c r="U401" s="144">
        <v>2.1692199999999998E-2</v>
      </c>
      <c r="V401" s="144">
        <v>-1760.18</v>
      </c>
      <c r="W401" s="143">
        <v>42124300</v>
      </c>
    </row>
    <row r="402" spans="21:23">
      <c r="U402" s="144">
        <v>11752.7</v>
      </c>
      <c r="V402" s="144">
        <v>-1760.18</v>
      </c>
      <c r="W402" s="143">
        <v>3185580</v>
      </c>
    </row>
    <row r="403" spans="21:23">
      <c r="U403" s="144">
        <v>23505.4</v>
      </c>
      <c r="V403" s="144">
        <v>-1760.18</v>
      </c>
      <c r="W403" s="143">
        <v>1496850</v>
      </c>
    </row>
    <row r="404" spans="21:23">
      <c r="U404" s="144">
        <v>35258</v>
      </c>
      <c r="V404" s="144">
        <v>-1760.18</v>
      </c>
      <c r="W404" s="143">
        <v>701776</v>
      </c>
    </row>
    <row r="405" spans="21:23">
      <c r="U405" s="144">
        <v>47010.7</v>
      </c>
      <c r="V405" s="144">
        <v>-1760.18</v>
      </c>
      <c r="W405" s="143">
        <v>359994</v>
      </c>
    </row>
    <row r="406" spans="21:23">
      <c r="U406" s="144">
        <v>58763.4</v>
      </c>
      <c r="V406" s="144">
        <v>-1760.18</v>
      </c>
      <c r="W406" s="143">
        <v>180747</v>
      </c>
    </row>
    <row r="407" spans="21:23">
      <c r="U407" s="144">
        <v>70516</v>
      </c>
      <c r="V407" s="144">
        <v>-1760.18</v>
      </c>
      <c r="W407" s="143">
        <v>102108</v>
      </c>
    </row>
    <row r="408" spans="21:23">
      <c r="U408" s="144">
        <v>82268.7</v>
      </c>
      <c r="V408" s="144">
        <v>-1760.18</v>
      </c>
      <c r="W408" s="143">
        <v>62975.3</v>
      </c>
    </row>
    <row r="409" spans="21:23">
      <c r="U409" s="144">
        <v>94021.4</v>
      </c>
      <c r="V409" s="144">
        <v>-1760.18</v>
      </c>
      <c r="W409" s="143">
        <v>42669</v>
      </c>
    </row>
    <row r="410" spans="21:23">
      <c r="U410" s="144">
        <v>105774</v>
      </c>
      <c r="V410" s="144">
        <v>-1760.18</v>
      </c>
      <c r="W410" s="143">
        <v>23240.799999999999</v>
      </c>
    </row>
    <row r="411" spans="21:23">
      <c r="U411" s="144">
        <v>117527</v>
      </c>
      <c r="V411" s="144">
        <v>-1760.18</v>
      </c>
      <c r="W411" s="143">
        <v>14396.4</v>
      </c>
    </row>
    <row r="412" spans="21:23">
      <c r="U412" s="144">
        <v>129279</v>
      </c>
      <c r="V412" s="144">
        <v>-1760.18</v>
      </c>
      <c r="W412" s="143">
        <v>14069.5</v>
      </c>
    </row>
    <row r="413" spans="21:23">
      <c r="U413" s="144">
        <v>141032</v>
      </c>
      <c r="V413" s="144">
        <v>-1760.18</v>
      </c>
      <c r="W413" s="143">
        <v>8173.76</v>
      </c>
    </row>
    <row r="414" spans="21:23">
      <c r="U414" s="144">
        <v>152785</v>
      </c>
      <c r="V414" s="144">
        <v>-1760.18</v>
      </c>
      <c r="W414" s="143">
        <v>6789.95</v>
      </c>
    </row>
    <row r="415" spans="21:23">
      <c r="U415" s="144">
        <v>164537</v>
      </c>
      <c r="V415" s="144">
        <v>-1760.18</v>
      </c>
      <c r="W415" s="143">
        <v>3830.23</v>
      </c>
    </row>
    <row r="416" spans="21:23">
      <c r="U416" s="144">
        <v>176290</v>
      </c>
      <c r="V416" s="144">
        <v>-1760.18</v>
      </c>
      <c r="W416" s="143">
        <v>3594.41</v>
      </c>
    </row>
    <row r="417" spans="21:23">
      <c r="U417" s="144">
        <v>188043</v>
      </c>
      <c r="V417" s="144">
        <v>-1760.18</v>
      </c>
      <c r="W417" s="143">
        <v>2644.69</v>
      </c>
    </row>
    <row r="418" spans="21:23">
      <c r="U418" s="144">
        <v>199795</v>
      </c>
      <c r="V418" s="144">
        <v>-1760.18</v>
      </c>
      <c r="W418" s="143">
        <v>2631.81</v>
      </c>
    </row>
    <row r="419" spans="21:23">
      <c r="U419" s="144">
        <v>211548</v>
      </c>
      <c r="V419" s="144">
        <v>-1760.18</v>
      </c>
      <c r="W419" s="143">
        <v>1902.24</v>
      </c>
    </row>
    <row r="420" spans="21:23">
      <c r="U420" s="144">
        <v>223301</v>
      </c>
      <c r="V420" s="144">
        <v>-1760.18</v>
      </c>
      <c r="W420" s="143">
        <v>1492.5</v>
      </c>
    </row>
    <row r="421" spans="21:23">
      <c r="U421" s="144">
        <v>235053</v>
      </c>
      <c r="V421" s="144">
        <v>-1760.18</v>
      </c>
      <c r="W421" s="143">
        <v>1015.19</v>
      </c>
    </row>
    <row r="422" spans="21:23">
      <c r="U422" s="144">
        <v>246806</v>
      </c>
      <c r="V422" s="144">
        <v>-1760.18</v>
      </c>
      <c r="W422" s="143">
        <v>1218.76</v>
      </c>
    </row>
    <row r="423" spans="21:23">
      <c r="U423" s="144">
        <v>258559</v>
      </c>
      <c r="V423" s="144">
        <v>-1760.18</v>
      </c>
      <c r="W423" s="143">
        <v>551.21</v>
      </c>
    </row>
    <row r="424" spans="21:23">
      <c r="U424" s="144">
        <v>270311</v>
      </c>
      <c r="V424" s="144">
        <v>-1760.18</v>
      </c>
      <c r="W424" s="143">
        <v>665.41</v>
      </c>
    </row>
    <row r="425" spans="21:23">
      <c r="U425" s="144">
        <v>282064</v>
      </c>
      <c r="V425" s="144">
        <v>-1760.18</v>
      </c>
      <c r="W425" s="143">
        <v>368.76499999999999</v>
      </c>
    </row>
    <row r="426" spans="21:23">
      <c r="U426" s="144">
        <v>293817</v>
      </c>
      <c r="V426" s="144">
        <v>-1760.18</v>
      </c>
      <c r="W426" s="143">
        <v>180.54499999999999</v>
      </c>
    </row>
    <row r="427" spans="21:23">
      <c r="U427" s="144">
        <v>305569</v>
      </c>
      <c r="V427" s="144">
        <v>-1760.18</v>
      </c>
      <c r="W427" s="143">
        <v>199.28</v>
      </c>
    </row>
    <row r="428" spans="21:23">
      <c r="U428" s="144">
        <v>317322</v>
      </c>
      <c r="V428" s="144">
        <v>-1760.18</v>
      </c>
      <c r="W428" s="143">
        <v>186.92500000000001</v>
      </c>
    </row>
    <row r="429" spans="21:23">
      <c r="U429" s="144">
        <v>329075</v>
      </c>
      <c r="V429" s="144">
        <v>-1760.18</v>
      </c>
      <c r="W429" s="143">
        <v>181.125</v>
      </c>
    </row>
    <row r="430" spans="21:23">
      <c r="U430" s="144">
        <v>340827</v>
      </c>
      <c r="V430" s="144">
        <v>-1760.18</v>
      </c>
      <c r="W430" s="143">
        <v>54.97</v>
      </c>
    </row>
    <row r="431" spans="21:23">
      <c r="U431" s="144">
        <v>352580</v>
      </c>
      <c r="V431" s="144">
        <v>-1760.18</v>
      </c>
      <c r="W431" s="143">
        <v>29.33</v>
      </c>
    </row>
    <row r="432" spans="21:23">
      <c r="U432" s="144">
        <v>364333</v>
      </c>
      <c r="V432" s="144">
        <v>-1760.18</v>
      </c>
      <c r="W432" s="143">
        <v>40.234999999999999</v>
      </c>
    </row>
    <row r="433" spans="21:23">
      <c r="U433" s="144">
        <v>376085</v>
      </c>
      <c r="V433" s="144">
        <v>-1760.18</v>
      </c>
      <c r="W433" s="143">
        <v>36.145000000000003</v>
      </c>
    </row>
    <row r="434" spans="21:23">
      <c r="U434" s="144">
        <v>387838</v>
      </c>
      <c r="V434" s="144">
        <v>-1760.18</v>
      </c>
      <c r="W434" s="143">
        <v>5.7</v>
      </c>
    </row>
    <row r="435" spans="21:23">
      <c r="U435" s="144">
        <v>399591</v>
      </c>
      <c r="V435" s="144">
        <v>-1760.18</v>
      </c>
      <c r="W435" s="143">
        <v>26.745000000000001</v>
      </c>
    </row>
    <row r="436" spans="21:23">
      <c r="U436" s="144">
        <v>411343</v>
      </c>
      <c r="V436" s="144">
        <v>-1760.18</v>
      </c>
      <c r="W436" s="143">
        <v>26.765000000000001</v>
      </c>
    </row>
    <row r="437" spans="21:23">
      <c r="U437" s="144">
        <v>423096</v>
      </c>
      <c r="V437" s="144">
        <v>-1760.18</v>
      </c>
      <c r="W437" s="143">
        <v>8.2349999999999994</v>
      </c>
    </row>
    <row r="438" spans="21:23">
      <c r="U438" s="144">
        <v>434849</v>
      </c>
      <c r="V438" s="144">
        <v>-1760.18</v>
      </c>
      <c r="W438" s="143">
        <v>23.295000000000002</v>
      </c>
    </row>
    <row r="439" spans="21:23">
      <c r="U439" s="144">
        <v>446601</v>
      </c>
      <c r="V439" s="144">
        <v>-1760.18</v>
      </c>
      <c r="W439" s="143">
        <v>8.4550000000000001</v>
      </c>
    </row>
    <row r="440" spans="21:23">
      <c r="U440" s="144">
        <v>458354</v>
      </c>
      <c r="V440" s="144">
        <v>-1760.18</v>
      </c>
      <c r="W440" s="143">
        <v>6.3550000000000004</v>
      </c>
    </row>
    <row r="441" spans="21:23">
      <c r="U441" s="144">
        <v>470107</v>
      </c>
      <c r="V441" s="144">
        <v>-1760.18</v>
      </c>
      <c r="W441" s="143">
        <v>0.24</v>
      </c>
    </row>
    <row r="442" spans="21:23">
      <c r="U442" s="144">
        <v>481859</v>
      </c>
      <c r="V442" s="144">
        <v>-1760.18</v>
      </c>
      <c r="W442" s="143">
        <v>1.25</v>
      </c>
    </row>
    <row r="443" spans="21:23">
      <c r="U443" s="144">
        <v>493612</v>
      </c>
      <c r="V443" s="144">
        <v>-1760.18</v>
      </c>
      <c r="W443" s="143">
        <v>0.125</v>
      </c>
    </row>
    <row r="444" spans="21:23">
      <c r="U444" s="144">
        <v>505365</v>
      </c>
      <c r="V444" s="144">
        <v>-1760.18</v>
      </c>
      <c r="W444" s="143">
        <v>0.56499999999999995</v>
      </c>
    </row>
    <row r="445" spans="21:23">
      <c r="U445" s="144">
        <v>517117</v>
      </c>
      <c r="V445" s="144">
        <v>-1760.18</v>
      </c>
      <c r="W445" s="143">
        <v>0.125</v>
      </c>
    </row>
    <row r="446" spans="21:23">
      <c r="U446" s="144">
        <v>2.1692199999999998E-2</v>
      </c>
      <c r="V446" s="144">
        <v>12842.2</v>
      </c>
      <c r="W446" s="143">
        <v>27328300</v>
      </c>
    </row>
    <row r="447" spans="21:23">
      <c r="U447" s="144">
        <v>11752.7</v>
      </c>
      <c r="V447" s="144">
        <v>12842.2</v>
      </c>
      <c r="W447" s="143">
        <v>4031730</v>
      </c>
    </row>
    <row r="448" spans="21:23">
      <c r="U448" s="144">
        <v>23505.4</v>
      </c>
      <c r="V448" s="144">
        <v>12842.2</v>
      </c>
      <c r="W448" s="143">
        <v>1953800</v>
      </c>
    </row>
    <row r="449" spans="21:23">
      <c r="U449" s="144">
        <v>35258</v>
      </c>
      <c r="V449" s="144">
        <v>12842.2</v>
      </c>
      <c r="W449" s="143">
        <v>787855</v>
      </c>
    </row>
    <row r="450" spans="21:23">
      <c r="U450" s="144">
        <v>47010.7</v>
      </c>
      <c r="V450" s="144">
        <v>12842.2</v>
      </c>
      <c r="W450" s="143">
        <v>299224</v>
      </c>
    </row>
    <row r="451" spans="21:23">
      <c r="U451" s="144">
        <v>58763.4</v>
      </c>
      <c r="V451" s="144">
        <v>12842.2</v>
      </c>
      <c r="W451" s="143">
        <v>163758</v>
      </c>
    </row>
    <row r="452" spans="21:23">
      <c r="U452" s="144">
        <v>70516</v>
      </c>
      <c r="V452" s="144">
        <v>12842.2</v>
      </c>
      <c r="W452" s="143">
        <v>87106.5</v>
      </c>
    </row>
    <row r="453" spans="21:23">
      <c r="U453" s="144">
        <v>82268.7</v>
      </c>
      <c r="V453" s="144">
        <v>12842.2</v>
      </c>
      <c r="W453" s="143">
        <v>51524.4</v>
      </c>
    </row>
    <row r="454" spans="21:23">
      <c r="U454" s="144">
        <v>94021.4</v>
      </c>
      <c r="V454" s="144">
        <v>12842.2</v>
      </c>
      <c r="W454" s="143">
        <v>34562</v>
      </c>
    </row>
    <row r="455" spans="21:23">
      <c r="U455" s="144">
        <v>105774</v>
      </c>
      <c r="V455" s="144">
        <v>12842.2</v>
      </c>
      <c r="W455" s="143">
        <v>26521.200000000001</v>
      </c>
    </row>
    <row r="456" spans="21:23">
      <c r="U456" s="144">
        <v>117527</v>
      </c>
      <c r="V456" s="144">
        <v>12842.2</v>
      </c>
      <c r="W456" s="143">
        <v>17457.2</v>
      </c>
    </row>
    <row r="457" spans="21:23">
      <c r="U457" s="144">
        <v>129279</v>
      </c>
      <c r="V457" s="144">
        <v>12842.2</v>
      </c>
      <c r="W457" s="143">
        <v>12791</v>
      </c>
    </row>
    <row r="458" spans="21:23">
      <c r="U458" s="144">
        <v>141032</v>
      </c>
      <c r="V458" s="144">
        <v>12842.2</v>
      </c>
      <c r="W458" s="143">
        <v>8673.27</v>
      </c>
    </row>
    <row r="459" spans="21:23">
      <c r="U459" s="144">
        <v>152785</v>
      </c>
      <c r="V459" s="144">
        <v>12842.2</v>
      </c>
      <c r="W459" s="143">
        <v>5440.02</v>
      </c>
    </row>
    <row r="460" spans="21:23">
      <c r="U460" s="144">
        <v>164537</v>
      </c>
      <c r="V460" s="144">
        <v>12842.2</v>
      </c>
      <c r="W460" s="143">
        <v>4736.1499999999996</v>
      </c>
    </row>
    <row r="461" spans="21:23">
      <c r="U461" s="144">
        <v>176290</v>
      </c>
      <c r="V461" s="144">
        <v>12842.2</v>
      </c>
      <c r="W461" s="143">
        <v>3268.07</v>
      </c>
    </row>
    <row r="462" spans="21:23">
      <c r="U462" s="144">
        <v>188043</v>
      </c>
      <c r="V462" s="144">
        <v>12842.2</v>
      </c>
      <c r="W462" s="143">
        <v>2129.04</v>
      </c>
    </row>
    <row r="463" spans="21:23">
      <c r="U463" s="144">
        <v>199795</v>
      </c>
      <c r="V463" s="144">
        <v>12842.2</v>
      </c>
      <c r="W463" s="143">
        <v>1714.01</v>
      </c>
    </row>
    <row r="464" spans="21:23">
      <c r="U464" s="144">
        <v>211548</v>
      </c>
      <c r="V464" s="144">
        <v>12842.2</v>
      </c>
      <c r="W464" s="143">
        <v>1108.4100000000001</v>
      </c>
    </row>
    <row r="465" spans="21:23">
      <c r="U465" s="144">
        <v>223301</v>
      </c>
      <c r="V465" s="144">
        <v>12842.2</v>
      </c>
      <c r="W465" s="143">
        <v>1050.69</v>
      </c>
    </row>
    <row r="466" spans="21:23">
      <c r="U466" s="144">
        <v>235053</v>
      </c>
      <c r="V466" s="144">
        <v>12842.2</v>
      </c>
      <c r="W466" s="143">
        <v>732.18</v>
      </c>
    </row>
    <row r="467" spans="21:23">
      <c r="U467" s="144">
        <v>246806</v>
      </c>
      <c r="V467" s="144">
        <v>12842.2</v>
      </c>
      <c r="W467" s="143">
        <v>597.33000000000004</v>
      </c>
    </row>
    <row r="468" spans="21:23">
      <c r="U468" s="144">
        <v>258559</v>
      </c>
      <c r="V468" s="144">
        <v>12842.2</v>
      </c>
      <c r="W468" s="143">
        <v>481.04</v>
      </c>
    </row>
    <row r="469" spans="21:23">
      <c r="U469" s="144">
        <v>270311</v>
      </c>
      <c r="V469" s="144">
        <v>12842.2</v>
      </c>
      <c r="W469" s="143">
        <v>435.39499999999998</v>
      </c>
    </row>
    <row r="470" spans="21:23">
      <c r="U470" s="144">
        <v>282064</v>
      </c>
      <c r="V470" s="144">
        <v>12842.2</v>
      </c>
      <c r="W470" s="143">
        <v>214.14500000000001</v>
      </c>
    </row>
    <row r="471" spans="21:23">
      <c r="U471" s="144">
        <v>293817</v>
      </c>
      <c r="V471" s="144">
        <v>12842.2</v>
      </c>
      <c r="W471" s="143">
        <v>164.405</v>
      </c>
    </row>
    <row r="472" spans="21:23">
      <c r="U472" s="144">
        <v>305569</v>
      </c>
      <c r="V472" s="144">
        <v>12842.2</v>
      </c>
      <c r="W472" s="143">
        <v>158.09</v>
      </c>
    </row>
    <row r="473" spans="21:23">
      <c r="U473" s="144">
        <v>317322</v>
      </c>
      <c r="V473" s="144">
        <v>12842.2</v>
      </c>
      <c r="W473" s="143">
        <v>91.224999999999994</v>
      </c>
    </row>
    <row r="474" spans="21:23">
      <c r="U474" s="144">
        <v>329075</v>
      </c>
      <c r="V474" s="144">
        <v>12842.2</v>
      </c>
      <c r="W474" s="143">
        <v>80.105000000000004</v>
      </c>
    </row>
    <row r="475" spans="21:23">
      <c r="U475" s="144">
        <v>340827</v>
      </c>
      <c r="V475" s="144">
        <v>12842.2</v>
      </c>
      <c r="W475" s="143">
        <v>74.564999999999998</v>
      </c>
    </row>
    <row r="476" spans="21:23">
      <c r="U476" s="144">
        <v>352580</v>
      </c>
      <c r="V476" s="144">
        <v>12842.2</v>
      </c>
      <c r="W476" s="143">
        <v>57.56</v>
      </c>
    </row>
    <row r="477" spans="21:23">
      <c r="U477" s="144">
        <v>364333</v>
      </c>
      <c r="V477" s="144">
        <v>12842.2</v>
      </c>
      <c r="W477" s="143">
        <v>26.13</v>
      </c>
    </row>
    <row r="478" spans="21:23">
      <c r="U478" s="144">
        <v>376085</v>
      </c>
      <c r="V478" s="144">
        <v>12842.2</v>
      </c>
      <c r="W478" s="143">
        <v>20.484999999999999</v>
      </c>
    </row>
    <row r="479" spans="21:23">
      <c r="U479" s="144">
        <v>387838</v>
      </c>
      <c r="V479" s="144">
        <v>12842.2</v>
      </c>
      <c r="W479" s="143">
        <v>15.55</v>
      </c>
    </row>
    <row r="480" spans="21:23">
      <c r="U480" s="144">
        <v>399591</v>
      </c>
      <c r="V480" s="144">
        <v>12842.2</v>
      </c>
      <c r="W480" s="143">
        <v>11.315</v>
      </c>
    </row>
    <row r="481" spans="21:23">
      <c r="U481" s="144">
        <v>411343</v>
      </c>
      <c r="V481" s="144">
        <v>12842.2</v>
      </c>
      <c r="W481" s="143">
        <v>38.524999999999999</v>
      </c>
    </row>
    <row r="482" spans="21:23">
      <c r="U482" s="144">
        <v>423096</v>
      </c>
      <c r="V482" s="144">
        <v>12842.2</v>
      </c>
      <c r="W482" s="143">
        <v>11.06</v>
      </c>
    </row>
    <row r="483" spans="21:23">
      <c r="U483" s="144">
        <v>434849</v>
      </c>
      <c r="V483" s="144">
        <v>12842.2</v>
      </c>
      <c r="W483" s="143">
        <v>19.934999999999999</v>
      </c>
    </row>
    <row r="484" spans="21:23">
      <c r="U484" s="144">
        <v>446601</v>
      </c>
      <c r="V484" s="144">
        <v>12842.2</v>
      </c>
      <c r="W484" s="143">
        <v>3.99</v>
      </c>
    </row>
    <row r="485" spans="21:23">
      <c r="U485" s="144">
        <v>458354</v>
      </c>
      <c r="V485" s="144">
        <v>12842.2</v>
      </c>
      <c r="W485" s="143">
        <v>1.3049999999999999</v>
      </c>
    </row>
    <row r="486" spans="21:23">
      <c r="U486" s="144">
        <v>470107</v>
      </c>
      <c r="V486" s="144">
        <v>12842.2</v>
      </c>
      <c r="W486" s="143">
        <v>2.67</v>
      </c>
    </row>
    <row r="487" spans="21:23">
      <c r="U487" s="144">
        <v>481859</v>
      </c>
      <c r="V487" s="144">
        <v>12842.2</v>
      </c>
      <c r="W487" s="143">
        <v>8.3550000000000004</v>
      </c>
    </row>
    <row r="488" spans="21:23">
      <c r="U488" s="144">
        <v>493612</v>
      </c>
      <c r="V488" s="144">
        <v>12842.2</v>
      </c>
      <c r="W488" s="143">
        <v>0.56499999999999995</v>
      </c>
    </row>
    <row r="489" spans="21:23">
      <c r="U489" s="144">
        <v>505365</v>
      </c>
      <c r="V489" s="144">
        <v>12842.2</v>
      </c>
      <c r="W489" s="143">
        <v>0.28999999999999998</v>
      </c>
    </row>
    <row r="490" spans="21:23">
      <c r="U490" s="144">
        <v>517117</v>
      </c>
      <c r="V490" s="144">
        <v>12842.2</v>
      </c>
      <c r="W490" s="143">
        <v>0.12</v>
      </c>
    </row>
    <row r="491" spans="21:23">
      <c r="U491" s="144">
        <v>587633</v>
      </c>
      <c r="V491" s="144">
        <v>12842.2</v>
      </c>
      <c r="W491" s="143">
        <v>0.12</v>
      </c>
    </row>
    <row r="492" spans="21:23">
      <c r="U492" s="144">
        <v>2.1692199999999998E-2</v>
      </c>
      <c r="V492" s="144">
        <v>27444.5</v>
      </c>
      <c r="W492" s="143">
        <v>28737200</v>
      </c>
    </row>
    <row r="493" spans="21:23">
      <c r="U493" s="144">
        <v>11752.7</v>
      </c>
      <c r="V493" s="144">
        <v>27444.5</v>
      </c>
      <c r="W493" s="143">
        <v>3933220</v>
      </c>
    </row>
    <row r="494" spans="21:23">
      <c r="U494" s="144">
        <v>23505.4</v>
      </c>
      <c r="V494" s="144">
        <v>27444.5</v>
      </c>
      <c r="W494" s="143">
        <v>2495740</v>
      </c>
    </row>
    <row r="495" spans="21:23">
      <c r="U495" s="144">
        <v>35258</v>
      </c>
      <c r="V495" s="144">
        <v>27444.5</v>
      </c>
      <c r="W495" s="143">
        <v>1200650</v>
      </c>
    </row>
    <row r="496" spans="21:23">
      <c r="U496" s="144">
        <v>47010.7</v>
      </c>
      <c r="V496" s="144">
        <v>27444.5</v>
      </c>
      <c r="W496" s="143">
        <v>534575</v>
      </c>
    </row>
    <row r="497" spans="21:23">
      <c r="U497" s="144">
        <v>58763.4</v>
      </c>
      <c r="V497" s="144">
        <v>27444.5</v>
      </c>
      <c r="W497" s="143">
        <v>298616</v>
      </c>
    </row>
    <row r="498" spans="21:23">
      <c r="U498" s="144">
        <v>70516</v>
      </c>
      <c r="V498" s="144">
        <v>27444.5</v>
      </c>
      <c r="W498" s="143">
        <v>147655</v>
      </c>
    </row>
    <row r="499" spans="21:23">
      <c r="U499" s="144">
        <v>82268.7</v>
      </c>
      <c r="V499" s="144">
        <v>27444.5</v>
      </c>
      <c r="W499" s="143">
        <v>89771.3</v>
      </c>
    </row>
    <row r="500" spans="21:23">
      <c r="U500" s="144">
        <v>94021.4</v>
      </c>
      <c r="V500" s="144">
        <v>27444.5</v>
      </c>
      <c r="W500" s="143">
        <v>55596.5</v>
      </c>
    </row>
    <row r="501" spans="21:23">
      <c r="U501" s="144">
        <v>105774</v>
      </c>
      <c r="V501" s="144">
        <v>27444.5</v>
      </c>
      <c r="W501" s="143">
        <v>38379.1</v>
      </c>
    </row>
    <row r="502" spans="21:23">
      <c r="U502" s="144">
        <v>117527</v>
      </c>
      <c r="V502" s="144">
        <v>27444.5</v>
      </c>
      <c r="W502" s="143">
        <v>28295.4</v>
      </c>
    </row>
    <row r="503" spans="21:23">
      <c r="U503" s="144">
        <v>129279</v>
      </c>
      <c r="V503" s="144">
        <v>27444.5</v>
      </c>
      <c r="W503" s="143">
        <v>23731.599999999999</v>
      </c>
    </row>
    <row r="504" spans="21:23">
      <c r="U504" s="144">
        <v>141032</v>
      </c>
      <c r="V504" s="144">
        <v>27444.5</v>
      </c>
      <c r="W504" s="143">
        <v>18676.2</v>
      </c>
    </row>
    <row r="505" spans="21:23">
      <c r="U505" s="144">
        <v>152785</v>
      </c>
      <c r="V505" s="144">
        <v>27444.5</v>
      </c>
      <c r="W505" s="143">
        <v>13372.9</v>
      </c>
    </row>
    <row r="506" spans="21:23">
      <c r="U506" s="144">
        <v>164537</v>
      </c>
      <c r="V506" s="144">
        <v>27444.5</v>
      </c>
      <c r="W506" s="143">
        <v>10651.7</v>
      </c>
    </row>
    <row r="507" spans="21:23">
      <c r="U507" s="144">
        <v>176290</v>
      </c>
      <c r="V507" s="144">
        <v>27444.5</v>
      </c>
      <c r="W507" s="143">
        <v>7275.33</v>
      </c>
    </row>
    <row r="508" spans="21:23">
      <c r="U508" s="144">
        <v>188043</v>
      </c>
      <c r="V508" s="144">
        <v>27444.5</v>
      </c>
      <c r="W508" s="143">
        <v>4935.1400000000003</v>
      </c>
    </row>
    <row r="509" spans="21:23">
      <c r="U509" s="144">
        <v>199795</v>
      </c>
      <c r="V509" s="144">
        <v>27444.5</v>
      </c>
      <c r="W509" s="143">
        <v>4092.85</v>
      </c>
    </row>
    <row r="510" spans="21:23">
      <c r="U510" s="144">
        <v>211548</v>
      </c>
      <c r="V510" s="144">
        <v>27444.5</v>
      </c>
      <c r="W510" s="143">
        <v>3403.39</v>
      </c>
    </row>
    <row r="511" spans="21:23">
      <c r="U511" s="144">
        <v>223301</v>
      </c>
      <c r="V511" s="144">
        <v>27444.5</v>
      </c>
      <c r="W511" s="143">
        <v>2524.94</v>
      </c>
    </row>
    <row r="512" spans="21:23">
      <c r="U512" s="144">
        <v>235053</v>
      </c>
      <c r="V512" s="144">
        <v>27444.5</v>
      </c>
      <c r="W512" s="143">
        <v>1669.97</v>
      </c>
    </row>
    <row r="513" spans="21:23">
      <c r="U513" s="144">
        <v>246806</v>
      </c>
      <c r="V513" s="144">
        <v>27444.5</v>
      </c>
      <c r="W513" s="143">
        <v>1601.07</v>
      </c>
    </row>
    <row r="514" spans="21:23">
      <c r="U514" s="144">
        <v>258559</v>
      </c>
      <c r="V514" s="144">
        <v>27444.5</v>
      </c>
      <c r="W514" s="143">
        <v>1293.23</v>
      </c>
    </row>
    <row r="515" spans="21:23">
      <c r="U515" s="144">
        <v>270311</v>
      </c>
      <c r="V515" s="144">
        <v>27444.5</v>
      </c>
      <c r="W515" s="143">
        <v>932.53</v>
      </c>
    </row>
    <row r="516" spans="21:23">
      <c r="U516" s="144">
        <v>282064</v>
      </c>
      <c r="V516" s="144">
        <v>27444.5</v>
      </c>
      <c r="W516" s="143">
        <v>735.72</v>
      </c>
    </row>
    <row r="517" spans="21:23">
      <c r="U517" s="144">
        <v>293817</v>
      </c>
      <c r="V517" s="144">
        <v>27444.5</v>
      </c>
      <c r="W517" s="143">
        <v>683.46500000000003</v>
      </c>
    </row>
    <row r="518" spans="21:23">
      <c r="U518" s="144">
        <v>305569</v>
      </c>
      <c r="V518" s="144">
        <v>27444.5</v>
      </c>
      <c r="W518" s="143">
        <v>430.15</v>
      </c>
    </row>
    <row r="519" spans="21:23">
      <c r="U519" s="144">
        <v>317322</v>
      </c>
      <c r="V519" s="144">
        <v>27444.5</v>
      </c>
      <c r="W519" s="143">
        <v>258.64499999999998</v>
      </c>
    </row>
    <row r="520" spans="21:23">
      <c r="U520" s="144">
        <v>329075</v>
      </c>
      <c r="V520" s="144">
        <v>27444.5</v>
      </c>
      <c r="W520" s="143">
        <v>241.95500000000001</v>
      </c>
    </row>
    <row r="521" spans="21:23">
      <c r="U521" s="144">
        <v>340827</v>
      </c>
      <c r="V521" s="144">
        <v>27444.5</v>
      </c>
      <c r="W521" s="143">
        <v>135.245</v>
      </c>
    </row>
    <row r="522" spans="21:23">
      <c r="U522" s="144">
        <v>352580</v>
      </c>
      <c r="V522" s="144">
        <v>27444.5</v>
      </c>
      <c r="W522" s="143">
        <v>26.49</v>
      </c>
    </row>
    <row r="523" spans="21:23">
      <c r="U523" s="144">
        <v>364333</v>
      </c>
      <c r="V523" s="144">
        <v>27444.5</v>
      </c>
      <c r="W523" s="143">
        <v>61.28</v>
      </c>
    </row>
    <row r="524" spans="21:23">
      <c r="U524" s="144">
        <v>376085</v>
      </c>
      <c r="V524" s="144">
        <v>27444.5</v>
      </c>
      <c r="W524" s="143">
        <v>16.010000000000002</v>
      </c>
    </row>
    <row r="525" spans="21:23">
      <c r="U525" s="144">
        <v>387838</v>
      </c>
      <c r="V525" s="144">
        <v>27444.5</v>
      </c>
      <c r="W525" s="143">
        <v>12.744999999999999</v>
      </c>
    </row>
    <row r="526" spans="21:23">
      <c r="U526" s="144">
        <v>399591</v>
      </c>
      <c r="V526" s="144">
        <v>27444.5</v>
      </c>
      <c r="W526" s="143">
        <v>15.965</v>
      </c>
    </row>
    <row r="527" spans="21:23">
      <c r="U527" s="144">
        <v>411343</v>
      </c>
      <c r="V527" s="144">
        <v>27444.5</v>
      </c>
      <c r="W527" s="143">
        <v>113.3</v>
      </c>
    </row>
    <row r="528" spans="21:23">
      <c r="U528" s="144">
        <v>423096</v>
      </c>
      <c r="V528" s="144">
        <v>27444.5</v>
      </c>
      <c r="W528" s="143">
        <v>38</v>
      </c>
    </row>
    <row r="529" spans="21:23">
      <c r="U529" s="144">
        <v>434849</v>
      </c>
      <c r="V529" s="144">
        <v>27444.5</v>
      </c>
      <c r="W529" s="143">
        <v>0.83</v>
      </c>
    </row>
    <row r="530" spans="21:23">
      <c r="U530" s="144">
        <v>446601</v>
      </c>
      <c r="V530" s="144">
        <v>27444.5</v>
      </c>
      <c r="W530" s="143">
        <v>0.88</v>
      </c>
    </row>
    <row r="531" spans="21:23">
      <c r="U531" s="144">
        <v>458354</v>
      </c>
      <c r="V531" s="144">
        <v>27444.5</v>
      </c>
      <c r="W531" s="143">
        <v>0.28999999999999998</v>
      </c>
    </row>
    <row r="532" spans="21:23">
      <c r="U532" s="144">
        <v>470107</v>
      </c>
      <c r="V532" s="144">
        <v>27444.5</v>
      </c>
      <c r="W532" s="143">
        <v>0.105</v>
      </c>
    </row>
    <row r="533" spans="21:23">
      <c r="U533" s="144">
        <v>481859</v>
      </c>
      <c r="V533" s="144">
        <v>27444.5</v>
      </c>
      <c r="W533" s="143">
        <v>0.27500000000000002</v>
      </c>
    </row>
    <row r="534" spans="21:23">
      <c r="U534" s="144">
        <v>505365</v>
      </c>
      <c r="V534" s="144">
        <v>27444.5</v>
      </c>
      <c r="W534" s="143">
        <v>0.27500000000000002</v>
      </c>
    </row>
    <row r="535" spans="21:23">
      <c r="U535" s="144">
        <v>517117</v>
      </c>
      <c r="V535" s="144">
        <v>27444.5</v>
      </c>
      <c r="W535" s="143">
        <v>0.27500000000000002</v>
      </c>
    </row>
    <row r="536" spans="21:23">
      <c r="U536" s="144">
        <v>2.1692199999999998E-2</v>
      </c>
      <c r="V536" s="144">
        <v>42046.9</v>
      </c>
      <c r="W536" s="143">
        <v>27598100</v>
      </c>
    </row>
    <row r="537" spans="21:23">
      <c r="U537" s="144">
        <v>11752.7</v>
      </c>
      <c r="V537" s="144">
        <v>42046.9</v>
      </c>
      <c r="W537" s="143">
        <v>2840260</v>
      </c>
    </row>
    <row r="538" spans="21:23">
      <c r="U538" s="144">
        <v>23505.4</v>
      </c>
      <c r="V538" s="144">
        <v>42046.9</v>
      </c>
      <c r="W538" s="143">
        <v>2099960</v>
      </c>
    </row>
    <row r="539" spans="21:23">
      <c r="U539" s="144">
        <v>35258</v>
      </c>
      <c r="V539" s="144">
        <v>42046.9</v>
      </c>
      <c r="W539" s="143">
        <v>1095470</v>
      </c>
    </row>
    <row r="540" spans="21:23">
      <c r="U540" s="144">
        <v>47010.7</v>
      </c>
      <c r="V540" s="144">
        <v>42046.9</v>
      </c>
      <c r="W540" s="143">
        <v>481360</v>
      </c>
    </row>
    <row r="541" spans="21:23">
      <c r="U541" s="144">
        <v>58763.4</v>
      </c>
      <c r="V541" s="144">
        <v>42046.9</v>
      </c>
      <c r="W541" s="143">
        <v>199683</v>
      </c>
    </row>
    <row r="542" spans="21:23">
      <c r="U542" s="144">
        <v>70516</v>
      </c>
      <c r="V542" s="144">
        <v>42046.9</v>
      </c>
      <c r="W542" s="143">
        <v>80172.399999999994</v>
      </c>
    </row>
    <row r="543" spans="21:23">
      <c r="U543" s="144">
        <v>82268.7</v>
      </c>
      <c r="V543" s="144">
        <v>42046.9</v>
      </c>
      <c r="W543" s="143">
        <v>43935.5</v>
      </c>
    </row>
    <row r="544" spans="21:23">
      <c r="U544" s="144">
        <v>94021.4</v>
      </c>
      <c r="V544" s="144">
        <v>42046.9</v>
      </c>
      <c r="W544" s="143">
        <v>22340.9</v>
      </c>
    </row>
    <row r="545" spans="21:23">
      <c r="U545" s="144">
        <v>105774</v>
      </c>
      <c r="V545" s="144">
        <v>42046.9</v>
      </c>
      <c r="W545" s="143">
        <v>11572.6</v>
      </c>
    </row>
    <row r="546" spans="21:23">
      <c r="U546" s="144">
        <v>117527</v>
      </c>
      <c r="V546" s="144">
        <v>42046.9</v>
      </c>
      <c r="W546" s="143">
        <v>7429.49</v>
      </c>
    </row>
    <row r="547" spans="21:23">
      <c r="U547" s="144">
        <v>129279</v>
      </c>
      <c r="V547" s="144">
        <v>42046.9</v>
      </c>
      <c r="W547" s="143">
        <v>5689.51</v>
      </c>
    </row>
    <row r="548" spans="21:23">
      <c r="U548" s="144">
        <v>141032</v>
      </c>
      <c r="V548" s="144">
        <v>42046.9</v>
      </c>
      <c r="W548" s="143">
        <v>2250.2600000000002</v>
      </c>
    </row>
    <row r="549" spans="21:23">
      <c r="U549" s="144">
        <v>152785</v>
      </c>
      <c r="V549" s="144">
        <v>42046.9</v>
      </c>
      <c r="W549" s="143">
        <v>1571.17</v>
      </c>
    </row>
    <row r="550" spans="21:23">
      <c r="U550" s="144">
        <v>164537</v>
      </c>
      <c r="V550" s="144">
        <v>42046.9</v>
      </c>
      <c r="W550" s="143">
        <v>941.28499999999997</v>
      </c>
    </row>
    <row r="551" spans="21:23">
      <c r="U551" s="144">
        <v>176290</v>
      </c>
      <c r="V551" s="144">
        <v>42046.9</v>
      </c>
      <c r="W551" s="143">
        <v>919.38499999999999</v>
      </c>
    </row>
    <row r="552" spans="21:23">
      <c r="U552" s="144">
        <v>188043</v>
      </c>
      <c r="V552" s="144">
        <v>42046.9</v>
      </c>
      <c r="W552" s="143">
        <v>378.62</v>
      </c>
    </row>
    <row r="553" spans="21:23">
      <c r="U553" s="144">
        <v>199795</v>
      </c>
      <c r="V553" s="144">
        <v>42046.9</v>
      </c>
      <c r="W553" s="143">
        <v>189.845</v>
      </c>
    </row>
    <row r="554" spans="21:23">
      <c r="U554" s="144">
        <v>211548</v>
      </c>
      <c r="V554" s="144">
        <v>42046.9</v>
      </c>
      <c r="W554" s="143">
        <v>134.33500000000001</v>
      </c>
    </row>
    <row r="555" spans="21:23">
      <c r="U555" s="144">
        <v>223301</v>
      </c>
      <c r="V555" s="144">
        <v>42046.9</v>
      </c>
      <c r="W555" s="143">
        <v>118.74</v>
      </c>
    </row>
    <row r="556" spans="21:23">
      <c r="U556" s="144">
        <v>235053</v>
      </c>
      <c r="V556" s="144">
        <v>42046.9</v>
      </c>
      <c r="W556" s="143">
        <v>261.01499999999999</v>
      </c>
    </row>
    <row r="557" spans="21:23">
      <c r="U557" s="144">
        <v>246806</v>
      </c>
      <c r="V557" s="144">
        <v>42046.9</v>
      </c>
      <c r="W557" s="143">
        <v>30.58</v>
      </c>
    </row>
    <row r="558" spans="21:23">
      <c r="U558" s="144">
        <v>258559</v>
      </c>
      <c r="V558" s="144">
        <v>42046.9</v>
      </c>
      <c r="W558" s="143">
        <v>21.76</v>
      </c>
    </row>
    <row r="559" spans="21:23">
      <c r="U559" s="144">
        <v>270311</v>
      </c>
      <c r="V559" s="144">
        <v>42046.9</v>
      </c>
      <c r="W559" s="143">
        <v>3.5049999999999999</v>
      </c>
    </row>
    <row r="560" spans="21:23">
      <c r="U560" s="144">
        <v>282064</v>
      </c>
      <c r="V560" s="144">
        <v>42046.9</v>
      </c>
      <c r="W560" s="143">
        <v>4.3849999999999998</v>
      </c>
    </row>
    <row r="561" spans="21:23">
      <c r="U561" s="144">
        <v>293817</v>
      </c>
      <c r="V561" s="144">
        <v>42046.9</v>
      </c>
      <c r="W561" s="143">
        <v>3.29</v>
      </c>
    </row>
    <row r="562" spans="21:23">
      <c r="U562" s="144">
        <v>305569</v>
      </c>
      <c r="V562" s="144">
        <v>42046.9</v>
      </c>
      <c r="W562" s="143">
        <v>7.82</v>
      </c>
    </row>
    <row r="563" spans="21:23">
      <c r="U563" s="144">
        <v>317322</v>
      </c>
      <c r="V563" s="144">
        <v>42046.9</v>
      </c>
      <c r="W563" s="143">
        <v>3.5000000000000003E-2</v>
      </c>
    </row>
    <row r="564" spans="21:23">
      <c r="U564" s="144">
        <v>329075</v>
      </c>
      <c r="V564" s="144">
        <v>42046.9</v>
      </c>
      <c r="W564" s="143">
        <v>0.27</v>
      </c>
    </row>
    <row r="565" spans="21:23">
      <c r="U565" s="144">
        <v>352580</v>
      </c>
      <c r="V565" s="144">
        <v>42046.9</v>
      </c>
      <c r="W565" s="143">
        <v>0.01</v>
      </c>
    </row>
    <row r="566" spans="21:23">
      <c r="U566" s="144">
        <v>376085</v>
      </c>
      <c r="V566" s="144">
        <v>42046.9</v>
      </c>
      <c r="W566" s="143">
        <v>0.30499999999999999</v>
      </c>
    </row>
    <row r="567" spans="21:23">
      <c r="U567" s="144">
        <v>399591</v>
      </c>
      <c r="V567" s="144">
        <v>42046.9</v>
      </c>
      <c r="W567" s="143">
        <v>0.30499999999999999</v>
      </c>
    </row>
    <row r="568" spans="21:23">
      <c r="U568" s="144">
        <v>411343</v>
      </c>
      <c r="V568" s="144">
        <v>42046.9</v>
      </c>
      <c r="W568" s="143">
        <v>0.27</v>
      </c>
    </row>
    <row r="569" spans="21:23">
      <c r="U569" s="144">
        <v>423096</v>
      </c>
      <c r="V569" s="144">
        <v>42046.9</v>
      </c>
      <c r="W569" s="143">
        <v>0.77500000000000002</v>
      </c>
    </row>
    <row r="570" spans="21:23">
      <c r="U570" s="144">
        <v>458354</v>
      </c>
      <c r="V570" s="144">
        <v>42046.9</v>
      </c>
      <c r="W570" s="143">
        <v>0.27500000000000002</v>
      </c>
    </row>
    <row r="571" spans="21:23">
      <c r="U571" s="144">
        <v>481859</v>
      </c>
      <c r="V571" s="144">
        <v>42046.9</v>
      </c>
      <c r="W571" s="143">
        <v>0.28999999999999998</v>
      </c>
    </row>
    <row r="572" spans="21:23">
      <c r="U572" s="144">
        <v>2.1692199999999998E-2</v>
      </c>
      <c r="V572" s="144">
        <v>56649.2</v>
      </c>
      <c r="W572" s="143">
        <v>25204700</v>
      </c>
    </row>
    <row r="573" spans="21:23">
      <c r="U573" s="144">
        <v>11752.7</v>
      </c>
      <c r="V573" s="144">
        <v>56649.2</v>
      </c>
      <c r="W573" s="143">
        <v>2155100</v>
      </c>
    </row>
    <row r="574" spans="21:23">
      <c r="U574" s="144">
        <v>23505.4</v>
      </c>
      <c r="V574" s="144">
        <v>56649.2</v>
      </c>
      <c r="W574" s="143">
        <v>1719350</v>
      </c>
    </row>
    <row r="575" spans="21:23">
      <c r="U575" s="144">
        <v>35258</v>
      </c>
      <c r="V575" s="144">
        <v>56649.2</v>
      </c>
      <c r="W575" s="143">
        <v>846365</v>
      </c>
    </row>
    <row r="576" spans="21:23">
      <c r="U576" s="144">
        <v>47010.7</v>
      </c>
      <c r="V576" s="144">
        <v>56649.2</v>
      </c>
      <c r="W576" s="143">
        <v>366608</v>
      </c>
    </row>
    <row r="577" spans="21:23">
      <c r="U577" s="144">
        <v>58763.4</v>
      </c>
      <c r="V577" s="144">
        <v>56649.2</v>
      </c>
      <c r="W577" s="143">
        <v>147212</v>
      </c>
    </row>
    <row r="578" spans="21:23">
      <c r="U578" s="144">
        <v>70516</v>
      </c>
      <c r="V578" s="144">
        <v>56649.2</v>
      </c>
      <c r="W578" s="143">
        <v>65252.6</v>
      </c>
    </row>
    <row r="579" spans="21:23">
      <c r="U579" s="144">
        <v>82268.7</v>
      </c>
      <c r="V579" s="144">
        <v>56649.2</v>
      </c>
      <c r="W579" s="143">
        <v>39881.1</v>
      </c>
    </row>
    <row r="580" spans="21:23">
      <c r="U580" s="144">
        <v>94021.4</v>
      </c>
      <c r="V580" s="144">
        <v>56649.2</v>
      </c>
      <c r="W580" s="143">
        <v>19368.5</v>
      </c>
    </row>
    <row r="581" spans="21:23">
      <c r="U581" s="144">
        <v>105774</v>
      </c>
      <c r="V581" s="144">
        <v>56649.2</v>
      </c>
      <c r="W581" s="143">
        <v>11305.3</v>
      </c>
    </row>
    <row r="582" spans="21:23">
      <c r="U582" s="144">
        <v>117527</v>
      </c>
      <c r="V582" s="144">
        <v>56649.2</v>
      </c>
      <c r="W582" s="143">
        <v>7564.39</v>
      </c>
    </row>
    <row r="583" spans="21:23">
      <c r="U583" s="144">
        <v>129279</v>
      </c>
      <c r="V583" s="144">
        <v>56649.2</v>
      </c>
      <c r="W583" s="143">
        <v>4219.8900000000003</v>
      </c>
    </row>
    <row r="584" spans="21:23">
      <c r="U584" s="144">
        <v>141032</v>
      </c>
      <c r="V584" s="144">
        <v>56649.2</v>
      </c>
      <c r="W584" s="143">
        <v>2250.31</v>
      </c>
    </row>
    <row r="585" spans="21:23">
      <c r="U585" s="144">
        <v>152785</v>
      </c>
      <c r="V585" s="144">
        <v>56649.2</v>
      </c>
      <c r="W585" s="143">
        <v>1724.36</v>
      </c>
    </row>
    <row r="586" spans="21:23">
      <c r="U586" s="144">
        <v>164537</v>
      </c>
      <c r="V586" s="144">
        <v>56649.2</v>
      </c>
      <c r="W586" s="143">
        <v>676.98500000000001</v>
      </c>
    </row>
    <row r="587" spans="21:23">
      <c r="U587" s="144">
        <v>176290</v>
      </c>
      <c r="V587" s="144">
        <v>56649.2</v>
      </c>
      <c r="W587" s="143">
        <v>535.42999999999995</v>
      </c>
    </row>
    <row r="588" spans="21:23">
      <c r="U588" s="144">
        <v>188043</v>
      </c>
      <c r="V588" s="144">
        <v>56649.2</v>
      </c>
      <c r="W588" s="143">
        <v>651.69500000000005</v>
      </c>
    </row>
    <row r="589" spans="21:23">
      <c r="U589" s="144">
        <v>199795</v>
      </c>
      <c r="V589" s="144">
        <v>56649.2</v>
      </c>
      <c r="W589" s="143">
        <v>367.08499999999998</v>
      </c>
    </row>
    <row r="590" spans="21:23">
      <c r="U590" s="144">
        <v>211548</v>
      </c>
      <c r="V590" s="144">
        <v>56649.2</v>
      </c>
      <c r="W590" s="143">
        <v>133.59</v>
      </c>
    </row>
    <row r="591" spans="21:23">
      <c r="U591" s="144">
        <v>223301</v>
      </c>
      <c r="V591" s="144">
        <v>56649.2</v>
      </c>
      <c r="W591" s="143">
        <v>151.37</v>
      </c>
    </row>
    <row r="592" spans="21:23">
      <c r="U592" s="144">
        <v>235053</v>
      </c>
      <c r="V592" s="144">
        <v>56649.2</v>
      </c>
      <c r="W592" s="143">
        <v>24.454999999999998</v>
      </c>
    </row>
    <row r="593" spans="21:23">
      <c r="U593" s="144">
        <v>246806</v>
      </c>
      <c r="V593" s="144">
        <v>56649.2</v>
      </c>
      <c r="W593" s="143">
        <v>21.18</v>
      </c>
    </row>
    <row r="594" spans="21:23">
      <c r="U594" s="144">
        <v>258559</v>
      </c>
      <c r="V594" s="144">
        <v>56649.2</v>
      </c>
      <c r="W594" s="143">
        <v>28.925000000000001</v>
      </c>
    </row>
    <row r="595" spans="21:23">
      <c r="U595" s="144">
        <v>270311</v>
      </c>
      <c r="V595" s="144">
        <v>56649.2</v>
      </c>
      <c r="W595" s="143">
        <v>84.944999999999993</v>
      </c>
    </row>
    <row r="596" spans="21:23">
      <c r="U596" s="144">
        <v>329075</v>
      </c>
      <c r="V596" s="144">
        <v>56649.2</v>
      </c>
      <c r="W596" s="143">
        <v>97.765000000000001</v>
      </c>
    </row>
    <row r="597" spans="21:23">
      <c r="U597" s="144">
        <v>364333</v>
      </c>
      <c r="V597" s="144">
        <v>56649.2</v>
      </c>
      <c r="W597" s="143">
        <v>7.585</v>
      </c>
    </row>
    <row r="598" spans="21:23">
      <c r="U598" s="144">
        <v>2.1692199999999998E-2</v>
      </c>
      <c r="V598" s="144">
        <v>71251.5</v>
      </c>
      <c r="W598" s="143">
        <v>27049200</v>
      </c>
    </row>
    <row r="599" spans="21:23">
      <c r="U599" s="144">
        <v>11752.7</v>
      </c>
      <c r="V599" s="144">
        <v>71251.5</v>
      </c>
      <c r="W599" s="143">
        <v>2043920</v>
      </c>
    </row>
    <row r="600" spans="21:23">
      <c r="U600" s="144">
        <v>23505.4</v>
      </c>
      <c r="V600" s="144">
        <v>71251.5</v>
      </c>
      <c r="W600" s="143">
        <v>1613410</v>
      </c>
    </row>
    <row r="601" spans="21:23">
      <c r="U601" s="144">
        <v>35258</v>
      </c>
      <c r="V601" s="144">
        <v>71251.5</v>
      </c>
      <c r="W601" s="143">
        <v>898540</v>
      </c>
    </row>
    <row r="602" spans="21:23">
      <c r="U602" s="144">
        <v>47010.7</v>
      </c>
      <c r="V602" s="144">
        <v>71251.5</v>
      </c>
      <c r="W602" s="143">
        <v>406452</v>
      </c>
    </row>
    <row r="603" spans="21:23">
      <c r="U603" s="144">
        <v>58763.4</v>
      </c>
      <c r="V603" s="144">
        <v>71251.5</v>
      </c>
      <c r="W603" s="143">
        <v>254017</v>
      </c>
    </row>
    <row r="604" spans="21:23">
      <c r="U604" s="144">
        <v>70516</v>
      </c>
      <c r="V604" s="144">
        <v>71251.5</v>
      </c>
      <c r="W604" s="143">
        <v>157599</v>
      </c>
    </row>
    <row r="605" spans="21:23">
      <c r="U605" s="144">
        <v>82268.7</v>
      </c>
      <c r="V605" s="144">
        <v>71251.5</v>
      </c>
      <c r="W605" s="143">
        <v>106397</v>
      </c>
    </row>
    <row r="606" spans="21:23">
      <c r="U606" s="144">
        <v>94021.4</v>
      </c>
      <c r="V606" s="144">
        <v>71251.5</v>
      </c>
      <c r="W606" s="143">
        <v>62452.6</v>
      </c>
    </row>
    <row r="607" spans="21:23">
      <c r="U607" s="144">
        <v>105774</v>
      </c>
      <c r="V607" s="144">
        <v>71251.5</v>
      </c>
      <c r="W607" s="143">
        <v>45976.800000000003</v>
      </c>
    </row>
    <row r="608" spans="21:23">
      <c r="U608" s="144">
        <v>117527</v>
      </c>
      <c r="V608" s="144">
        <v>71251.5</v>
      </c>
      <c r="W608" s="143">
        <v>24801.4</v>
      </c>
    </row>
    <row r="609" spans="21:23">
      <c r="U609" s="144">
        <v>129279</v>
      </c>
      <c r="V609" s="144">
        <v>71251.5</v>
      </c>
      <c r="W609" s="143">
        <v>21516.1</v>
      </c>
    </row>
    <row r="610" spans="21:23">
      <c r="U610" s="144">
        <v>141032</v>
      </c>
      <c r="V610" s="144">
        <v>71251.5</v>
      </c>
      <c r="W610" s="143">
        <v>11380.4</v>
      </c>
    </row>
    <row r="611" spans="21:23">
      <c r="U611" s="144">
        <v>152785</v>
      </c>
      <c r="V611" s="144">
        <v>71251.5</v>
      </c>
      <c r="W611" s="143">
        <v>4258.53</v>
      </c>
    </row>
    <row r="612" spans="21:23">
      <c r="U612" s="144">
        <v>164537</v>
      </c>
      <c r="V612" s="144">
        <v>71251.5</v>
      </c>
      <c r="W612" s="143">
        <v>3104.52</v>
      </c>
    </row>
    <row r="613" spans="21:23">
      <c r="U613" s="144">
        <v>176290</v>
      </c>
      <c r="V613" s="144">
        <v>71251.5</v>
      </c>
      <c r="W613" s="143">
        <v>1271.6500000000001</v>
      </c>
    </row>
    <row r="614" spans="21:23">
      <c r="U614" s="144">
        <v>188043</v>
      </c>
      <c r="V614" s="144">
        <v>71251.5</v>
      </c>
      <c r="W614" s="143">
        <v>738.56500000000005</v>
      </c>
    </row>
    <row r="615" spans="21:23">
      <c r="U615" s="144">
        <v>199795</v>
      </c>
      <c r="V615" s="144">
        <v>71251.5</v>
      </c>
      <c r="W615" s="143">
        <v>442.36500000000001</v>
      </c>
    </row>
    <row r="616" spans="21:23">
      <c r="U616" s="144">
        <v>211548</v>
      </c>
      <c r="V616" s="144">
        <v>71251.5</v>
      </c>
      <c r="W616" s="143">
        <v>249.26499999999999</v>
      </c>
    </row>
    <row r="617" spans="21:23">
      <c r="U617" s="144">
        <v>223301</v>
      </c>
      <c r="V617" s="144">
        <v>71251.5</v>
      </c>
      <c r="W617" s="143">
        <v>128.79499999999999</v>
      </c>
    </row>
    <row r="618" spans="21:23">
      <c r="U618" s="144">
        <v>235053</v>
      </c>
      <c r="V618" s="144">
        <v>71251.5</v>
      </c>
      <c r="W618" s="143">
        <v>180.69499999999999</v>
      </c>
    </row>
    <row r="619" spans="21:23">
      <c r="U619" s="144">
        <v>246806</v>
      </c>
      <c r="V619" s="144">
        <v>71251.5</v>
      </c>
      <c r="W619" s="143">
        <v>73.295000000000002</v>
      </c>
    </row>
    <row r="620" spans="21:23">
      <c r="U620" s="144">
        <v>258559</v>
      </c>
      <c r="V620" s="144">
        <v>71251.5</v>
      </c>
      <c r="W620" s="143">
        <v>95.18</v>
      </c>
    </row>
    <row r="621" spans="21:23">
      <c r="U621" s="144">
        <v>270311</v>
      </c>
      <c r="V621" s="144">
        <v>71251.5</v>
      </c>
      <c r="W621" s="143">
        <v>0.20499999999999999</v>
      </c>
    </row>
    <row r="622" spans="21:23">
      <c r="U622" s="144">
        <v>282064</v>
      </c>
      <c r="V622" s="144">
        <v>71251.5</v>
      </c>
      <c r="W622" s="143">
        <v>22.614999999999998</v>
      </c>
    </row>
    <row r="623" spans="21:23">
      <c r="U623" s="144">
        <v>293817</v>
      </c>
      <c r="V623" s="144">
        <v>71251.5</v>
      </c>
      <c r="W623" s="143">
        <v>3.8450000000000002</v>
      </c>
    </row>
    <row r="624" spans="21:23">
      <c r="U624" s="144">
        <v>305569</v>
      </c>
      <c r="V624" s="144">
        <v>71251.5</v>
      </c>
      <c r="W624" s="143">
        <v>75.239999999999995</v>
      </c>
    </row>
    <row r="625" spans="21:23">
      <c r="U625" s="144">
        <v>317322</v>
      </c>
      <c r="V625" s="144">
        <v>71251.5</v>
      </c>
      <c r="W625" s="143">
        <v>3.7949999999999999</v>
      </c>
    </row>
    <row r="626" spans="21:23">
      <c r="U626" s="144">
        <v>329075</v>
      </c>
      <c r="V626" s="144">
        <v>71251.5</v>
      </c>
      <c r="W626" s="143">
        <v>15.175000000000001</v>
      </c>
    </row>
    <row r="627" spans="21:23">
      <c r="U627" s="144">
        <v>399591</v>
      </c>
      <c r="V627" s="144">
        <v>71251.5</v>
      </c>
      <c r="W627" s="143">
        <v>94.84</v>
      </c>
    </row>
    <row r="628" spans="21:23">
      <c r="U628" s="144">
        <v>2.1692199999999998E-2</v>
      </c>
      <c r="V628" s="144">
        <v>85853.9</v>
      </c>
      <c r="W628" s="143">
        <v>34274500</v>
      </c>
    </row>
    <row r="629" spans="21:23">
      <c r="U629" s="144">
        <v>11752.7</v>
      </c>
      <c r="V629" s="144">
        <v>85853.9</v>
      </c>
      <c r="W629" s="143">
        <v>2724570</v>
      </c>
    </row>
    <row r="630" spans="21:23">
      <c r="U630" s="144">
        <v>23505.4</v>
      </c>
      <c r="V630" s="144">
        <v>85853.9</v>
      </c>
      <c r="W630" s="143">
        <v>1823860</v>
      </c>
    </row>
    <row r="631" spans="21:23">
      <c r="U631" s="144">
        <v>35258</v>
      </c>
      <c r="V631" s="144">
        <v>85853.9</v>
      </c>
      <c r="W631" s="143">
        <v>1162670</v>
      </c>
    </row>
    <row r="632" spans="21:23">
      <c r="U632" s="144">
        <v>47010.7</v>
      </c>
      <c r="V632" s="144">
        <v>85853.9</v>
      </c>
      <c r="W632" s="143">
        <v>651427</v>
      </c>
    </row>
    <row r="633" spans="21:23">
      <c r="U633" s="144">
        <v>58763.4</v>
      </c>
      <c r="V633" s="144">
        <v>85853.9</v>
      </c>
      <c r="W633" s="143">
        <v>394898</v>
      </c>
    </row>
    <row r="634" spans="21:23">
      <c r="U634" s="144">
        <v>70516</v>
      </c>
      <c r="V634" s="144">
        <v>85853.9</v>
      </c>
      <c r="W634" s="143">
        <v>257697</v>
      </c>
    </row>
    <row r="635" spans="21:23">
      <c r="U635" s="144">
        <v>82268.7</v>
      </c>
      <c r="V635" s="144">
        <v>85853.9</v>
      </c>
      <c r="W635" s="143">
        <v>168113</v>
      </c>
    </row>
    <row r="636" spans="21:23">
      <c r="U636" s="144">
        <v>94021.4</v>
      </c>
      <c r="V636" s="144">
        <v>85853.9</v>
      </c>
      <c r="W636" s="143">
        <v>100580</v>
      </c>
    </row>
    <row r="637" spans="21:23">
      <c r="U637" s="144">
        <v>105774</v>
      </c>
      <c r="V637" s="144">
        <v>85853.9</v>
      </c>
      <c r="W637" s="143">
        <v>63236.1</v>
      </c>
    </row>
    <row r="638" spans="21:23">
      <c r="U638" s="144">
        <v>117527</v>
      </c>
      <c r="V638" s="144">
        <v>85853.9</v>
      </c>
      <c r="W638" s="143">
        <v>45612</v>
      </c>
    </row>
    <row r="639" spans="21:23">
      <c r="U639" s="144">
        <v>129279</v>
      </c>
      <c r="V639" s="144">
        <v>85853.9</v>
      </c>
      <c r="W639" s="143">
        <v>21264.9</v>
      </c>
    </row>
    <row r="640" spans="21:23">
      <c r="U640" s="144">
        <v>141032</v>
      </c>
      <c r="V640" s="144">
        <v>85853.9</v>
      </c>
      <c r="W640" s="143">
        <v>13326.4</v>
      </c>
    </row>
    <row r="641" spans="21:23">
      <c r="U641" s="144">
        <v>152785</v>
      </c>
      <c r="V641" s="144">
        <v>85853.9</v>
      </c>
      <c r="W641" s="143">
        <v>7674.84</v>
      </c>
    </row>
    <row r="642" spans="21:23">
      <c r="U642" s="144">
        <v>164537</v>
      </c>
      <c r="V642" s="144">
        <v>85853.9</v>
      </c>
      <c r="W642" s="143">
        <v>6816.13</v>
      </c>
    </row>
    <row r="643" spans="21:23">
      <c r="U643" s="144">
        <v>176290</v>
      </c>
      <c r="V643" s="144">
        <v>85853.9</v>
      </c>
      <c r="W643" s="143">
        <v>3132.82</v>
      </c>
    </row>
    <row r="644" spans="21:23">
      <c r="U644" s="144">
        <v>188043</v>
      </c>
      <c r="V644" s="144">
        <v>85853.9</v>
      </c>
      <c r="W644" s="143">
        <v>2126.12</v>
      </c>
    </row>
    <row r="645" spans="21:23">
      <c r="U645" s="144">
        <v>199795</v>
      </c>
      <c r="V645" s="144">
        <v>85853.9</v>
      </c>
      <c r="W645" s="143">
        <v>1470.61</v>
      </c>
    </row>
    <row r="646" spans="21:23">
      <c r="U646" s="144">
        <v>211548</v>
      </c>
      <c r="V646" s="144">
        <v>85853.9</v>
      </c>
      <c r="W646" s="143">
        <v>1016.12</v>
      </c>
    </row>
    <row r="647" spans="21:23">
      <c r="U647" s="144">
        <v>223301</v>
      </c>
      <c r="V647" s="144">
        <v>85853.9</v>
      </c>
      <c r="W647" s="143">
        <v>741.25</v>
      </c>
    </row>
    <row r="648" spans="21:23">
      <c r="U648" s="144">
        <v>235053</v>
      </c>
      <c r="V648" s="144">
        <v>85853.9</v>
      </c>
      <c r="W648" s="143">
        <v>452.31</v>
      </c>
    </row>
    <row r="649" spans="21:23">
      <c r="U649" s="144">
        <v>246806</v>
      </c>
      <c r="V649" s="144">
        <v>85853.9</v>
      </c>
      <c r="W649" s="143">
        <v>379.46499999999997</v>
      </c>
    </row>
    <row r="650" spans="21:23">
      <c r="U650" s="144">
        <v>258559</v>
      </c>
      <c r="V650" s="144">
        <v>85853.9</v>
      </c>
      <c r="W650" s="143">
        <v>134.25</v>
      </c>
    </row>
    <row r="651" spans="21:23">
      <c r="U651" s="144">
        <v>270311</v>
      </c>
      <c r="V651" s="144">
        <v>85853.9</v>
      </c>
      <c r="W651" s="143">
        <v>2.64</v>
      </c>
    </row>
    <row r="652" spans="21:23">
      <c r="U652" s="144">
        <v>282064</v>
      </c>
      <c r="V652" s="144">
        <v>85853.9</v>
      </c>
      <c r="W652" s="143">
        <v>174.26</v>
      </c>
    </row>
    <row r="653" spans="21:23">
      <c r="U653" s="144">
        <v>305569</v>
      </c>
      <c r="V653" s="144">
        <v>85853.9</v>
      </c>
      <c r="W653" s="143">
        <v>8.5000000000000006E-2</v>
      </c>
    </row>
    <row r="654" spans="21:23">
      <c r="U654" s="144">
        <v>2.1692199999999998E-2</v>
      </c>
      <c r="V654" s="144">
        <v>100456</v>
      </c>
      <c r="W654" s="143">
        <v>32965500</v>
      </c>
    </row>
    <row r="655" spans="21:23">
      <c r="U655" s="144">
        <v>11752.7</v>
      </c>
      <c r="V655" s="144">
        <v>100456</v>
      </c>
      <c r="W655" s="143">
        <v>2608020</v>
      </c>
    </row>
    <row r="656" spans="21:23">
      <c r="U656" s="144">
        <v>23505.4</v>
      </c>
      <c r="V656" s="144">
        <v>100456</v>
      </c>
      <c r="W656" s="143">
        <v>1745730</v>
      </c>
    </row>
    <row r="657" spans="21:23">
      <c r="U657" s="144">
        <v>35258</v>
      </c>
      <c r="V657" s="144">
        <v>100456</v>
      </c>
      <c r="W657" s="143">
        <v>1164690</v>
      </c>
    </row>
    <row r="658" spans="21:23">
      <c r="U658" s="144">
        <v>47010.7</v>
      </c>
      <c r="V658" s="144">
        <v>100456</v>
      </c>
      <c r="W658" s="143">
        <v>761764</v>
      </c>
    </row>
    <row r="659" spans="21:23">
      <c r="U659" s="144">
        <v>58763.4</v>
      </c>
      <c r="V659" s="144">
        <v>100456</v>
      </c>
      <c r="W659" s="143">
        <v>509849</v>
      </c>
    </row>
    <row r="660" spans="21:23">
      <c r="U660" s="144">
        <v>70516</v>
      </c>
      <c r="V660" s="144">
        <v>100456</v>
      </c>
      <c r="W660" s="143">
        <v>331020</v>
      </c>
    </row>
    <row r="661" spans="21:23">
      <c r="U661" s="144">
        <v>82268.7</v>
      </c>
      <c r="V661" s="144">
        <v>100456</v>
      </c>
      <c r="W661" s="143">
        <v>226146</v>
      </c>
    </row>
    <row r="662" spans="21:23">
      <c r="U662" s="144">
        <v>94021.4</v>
      </c>
      <c r="V662" s="144">
        <v>100456</v>
      </c>
      <c r="W662" s="143">
        <v>136006</v>
      </c>
    </row>
    <row r="663" spans="21:23">
      <c r="U663" s="144">
        <v>105774</v>
      </c>
      <c r="V663" s="144">
        <v>100456</v>
      </c>
      <c r="W663" s="143">
        <v>78521</v>
      </c>
    </row>
    <row r="664" spans="21:23">
      <c r="U664" s="144">
        <v>117527</v>
      </c>
      <c r="V664" s="144">
        <v>100456</v>
      </c>
      <c r="W664" s="143">
        <v>41501.599999999999</v>
      </c>
    </row>
    <row r="665" spans="21:23">
      <c r="U665" s="144">
        <v>129279</v>
      </c>
      <c r="V665" s="144">
        <v>100456</v>
      </c>
      <c r="W665" s="143">
        <v>20704.8</v>
      </c>
    </row>
    <row r="666" spans="21:23">
      <c r="U666" s="144">
        <v>141032</v>
      </c>
      <c r="V666" s="144">
        <v>100456</v>
      </c>
      <c r="W666" s="143">
        <v>16687.599999999999</v>
      </c>
    </row>
    <row r="667" spans="21:23">
      <c r="U667" s="144">
        <v>152785</v>
      </c>
      <c r="V667" s="144">
        <v>100456</v>
      </c>
      <c r="W667" s="143">
        <v>7920.36</v>
      </c>
    </row>
    <row r="668" spans="21:23">
      <c r="U668" s="144">
        <v>164537</v>
      </c>
      <c r="V668" s="144">
        <v>100456</v>
      </c>
      <c r="W668" s="143">
        <v>4110.47</v>
      </c>
    </row>
    <row r="669" spans="21:23">
      <c r="U669" s="144">
        <v>176290</v>
      </c>
      <c r="V669" s="144">
        <v>100456</v>
      </c>
      <c r="W669" s="143">
        <v>2044.37</v>
      </c>
    </row>
    <row r="670" spans="21:23">
      <c r="U670" s="144">
        <v>188043</v>
      </c>
      <c r="V670" s="144">
        <v>100456</v>
      </c>
      <c r="W670" s="143">
        <v>1993.02</v>
      </c>
    </row>
    <row r="671" spans="21:23">
      <c r="U671" s="144">
        <v>199795</v>
      </c>
      <c r="V671" s="144">
        <v>100456</v>
      </c>
      <c r="W671" s="143">
        <v>1223.28</v>
      </c>
    </row>
    <row r="672" spans="21:23">
      <c r="U672" s="144">
        <v>211548</v>
      </c>
      <c r="V672" s="144">
        <v>100456</v>
      </c>
      <c r="W672" s="143">
        <v>642.61500000000001</v>
      </c>
    </row>
    <row r="673" spans="21:23">
      <c r="U673" s="144">
        <v>223301</v>
      </c>
      <c r="V673" s="144">
        <v>100456</v>
      </c>
      <c r="W673" s="143">
        <v>487.46</v>
      </c>
    </row>
    <row r="674" spans="21:23">
      <c r="U674" s="144">
        <v>235053</v>
      </c>
      <c r="V674" s="144">
        <v>100456</v>
      </c>
      <c r="W674" s="143">
        <v>234.84</v>
      </c>
    </row>
    <row r="675" spans="21:23">
      <c r="U675" s="144">
        <v>246806</v>
      </c>
      <c r="V675" s="144">
        <v>100456</v>
      </c>
      <c r="W675" s="143">
        <v>31.024999999999999</v>
      </c>
    </row>
    <row r="676" spans="21:23">
      <c r="U676" s="144">
        <v>258559</v>
      </c>
      <c r="V676" s="144">
        <v>100456</v>
      </c>
      <c r="W676" s="143">
        <v>137.26</v>
      </c>
    </row>
    <row r="677" spans="21:23">
      <c r="U677" s="144">
        <v>270311</v>
      </c>
      <c r="V677" s="144">
        <v>100456</v>
      </c>
      <c r="W677" s="143">
        <v>87.07</v>
      </c>
    </row>
    <row r="678" spans="21:23">
      <c r="U678" s="144">
        <v>282064</v>
      </c>
      <c r="V678" s="144">
        <v>100456</v>
      </c>
      <c r="W678" s="143">
        <v>94.28</v>
      </c>
    </row>
    <row r="679" spans="21:23">
      <c r="U679" s="144">
        <v>293817</v>
      </c>
      <c r="V679" s="144">
        <v>100456</v>
      </c>
      <c r="W679" s="143">
        <v>0.30499999999999999</v>
      </c>
    </row>
    <row r="680" spans="21:23">
      <c r="U680" s="144">
        <v>2.1692199999999998E-2</v>
      </c>
      <c r="V680" s="144">
        <v>115059</v>
      </c>
      <c r="W680" s="143">
        <v>32691200</v>
      </c>
    </row>
    <row r="681" spans="21:23">
      <c r="U681" s="144">
        <v>11752.7</v>
      </c>
      <c r="V681" s="144">
        <v>115059</v>
      </c>
      <c r="W681" s="143">
        <v>2704090</v>
      </c>
    </row>
    <row r="682" spans="21:23">
      <c r="U682" s="144">
        <v>23505.4</v>
      </c>
      <c r="V682" s="144">
        <v>115059</v>
      </c>
      <c r="W682" s="143">
        <v>1663950</v>
      </c>
    </row>
    <row r="683" spans="21:23">
      <c r="U683" s="144">
        <v>35258</v>
      </c>
      <c r="V683" s="144">
        <v>115059</v>
      </c>
      <c r="W683" s="143">
        <v>1353680</v>
      </c>
    </row>
    <row r="684" spans="21:23">
      <c r="U684" s="144">
        <v>47010.7</v>
      </c>
      <c r="V684" s="144">
        <v>115059</v>
      </c>
      <c r="W684" s="143">
        <v>969517</v>
      </c>
    </row>
    <row r="685" spans="21:23">
      <c r="U685" s="144">
        <v>58763.4</v>
      </c>
      <c r="V685" s="144">
        <v>115059</v>
      </c>
      <c r="W685" s="143">
        <v>647733</v>
      </c>
    </row>
    <row r="686" spans="21:23">
      <c r="U686" s="144">
        <v>70516</v>
      </c>
      <c r="V686" s="144">
        <v>115059</v>
      </c>
      <c r="W686" s="143">
        <v>383080</v>
      </c>
    </row>
    <row r="687" spans="21:23">
      <c r="U687" s="144">
        <v>82268.7</v>
      </c>
      <c r="V687" s="144">
        <v>115059</v>
      </c>
      <c r="W687" s="143">
        <v>234545</v>
      </c>
    </row>
    <row r="688" spans="21:23">
      <c r="U688" s="144">
        <v>94021.4</v>
      </c>
      <c r="V688" s="144">
        <v>115059</v>
      </c>
      <c r="W688" s="143">
        <v>149259</v>
      </c>
    </row>
    <row r="689" spans="21:23">
      <c r="U689" s="144">
        <v>105774</v>
      </c>
      <c r="V689" s="144">
        <v>115059</v>
      </c>
      <c r="W689" s="143">
        <v>82857</v>
      </c>
    </row>
    <row r="690" spans="21:23">
      <c r="U690" s="144">
        <v>117527</v>
      </c>
      <c r="V690" s="144">
        <v>115059</v>
      </c>
      <c r="W690" s="143">
        <v>53742.8</v>
      </c>
    </row>
    <row r="691" spans="21:23">
      <c r="U691" s="144">
        <v>129279</v>
      </c>
      <c r="V691" s="144">
        <v>115059</v>
      </c>
      <c r="W691" s="143">
        <v>26085.1</v>
      </c>
    </row>
    <row r="692" spans="21:23">
      <c r="U692" s="144">
        <v>141032</v>
      </c>
      <c r="V692" s="144">
        <v>115059</v>
      </c>
      <c r="W692" s="143">
        <v>10027.799999999999</v>
      </c>
    </row>
    <row r="693" spans="21:23">
      <c r="U693" s="144">
        <v>152785</v>
      </c>
      <c r="V693" s="144">
        <v>115059</v>
      </c>
      <c r="W693" s="143">
        <v>5235.33</v>
      </c>
    </row>
    <row r="694" spans="21:23">
      <c r="U694" s="144">
        <v>164537</v>
      </c>
      <c r="V694" s="144">
        <v>115059</v>
      </c>
      <c r="W694" s="143">
        <v>1884.24</v>
      </c>
    </row>
    <row r="695" spans="21:23">
      <c r="U695" s="144">
        <v>176290</v>
      </c>
      <c r="V695" s="144">
        <v>115059</v>
      </c>
      <c r="W695" s="143">
        <v>784.56500000000005</v>
      </c>
    </row>
    <row r="696" spans="21:23">
      <c r="U696" s="144">
        <v>188043</v>
      </c>
      <c r="V696" s="144">
        <v>115059</v>
      </c>
      <c r="W696" s="143">
        <v>372.23</v>
      </c>
    </row>
    <row r="697" spans="21:23">
      <c r="U697" s="144">
        <v>199795</v>
      </c>
      <c r="V697" s="144">
        <v>115059</v>
      </c>
      <c r="W697" s="143">
        <v>457.45499999999998</v>
      </c>
    </row>
    <row r="698" spans="21:23">
      <c r="U698" s="144">
        <v>211548</v>
      </c>
      <c r="V698" s="144">
        <v>115059</v>
      </c>
      <c r="W698" s="143">
        <v>280.10000000000002</v>
      </c>
    </row>
    <row r="699" spans="21:23">
      <c r="U699" s="144">
        <v>223301</v>
      </c>
      <c r="V699" s="144">
        <v>115059</v>
      </c>
      <c r="W699" s="143">
        <v>95.194999999999993</v>
      </c>
    </row>
    <row r="700" spans="21:23">
      <c r="U700" s="144">
        <v>235053</v>
      </c>
      <c r="V700" s="144">
        <v>115059</v>
      </c>
      <c r="W700" s="143">
        <v>0.37</v>
      </c>
    </row>
    <row r="701" spans="21:23">
      <c r="U701" s="144">
        <v>246806</v>
      </c>
      <c r="V701" s="144">
        <v>115059</v>
      </c>
      <c r="W701" s="143">
        <v>8.5000000000000006E-2</v>
      </c>
    </row>
    <row r="702" spans="21:23">
      <c r="U702" s="144">
        <v>258559</v>
      </c>
      <c r="V702" s="144">
        <v>115059</v>
      </c>
      <c r="W702" s="143">
        <v>0.37</v>
      </c>
    </row>
    <row r="703" spans="21:23">
      <c r="U703" s="144">
        <v>270311</v>
      </c>
      <c r="V703" s="144">
        <v>115059</v>
      </c>
      <c r="W703" s="143">
        <v>0.34</v>
      </c>
    </row>
    <row r="704" spans="21:23">
      <c r="U704" s="144">
        <v>282064</v>
      </c>
      <c r="V704" s="144">
        <v>115059</v>
      </c>
      <c r="W704" s="143">
        <v>0.36499999999999999</v>
      </c>
    </row>
    <row r="705" spans="21:23">
      <c r="U705" s="144">
        <v>293817</v>
      </c>
      <c r="V705" s="144">
        <v>115059</v>
      </c>
      <c r="W705" s="143">
        <v>0.24</v>
      </c>
    </row>
    <row r="706" spans="21:23">
      <c r="U706" s="144">
        <v>329075</v>
      </c>
      <c r="V706" s="144">
        <v>115059</v>
      </c>
      <c r="W706" s="143">
        <v>0.12</v>
      </c>
    </row>
    <row r="707" spans="21:23">
      <c r="U707" s="144">
        <v>2.1692199999999998E-2</v>
      </c>
      <c r="V707" s="144">
        <v>129661</v>
      </c>
      <c r="W707" s="143">
        <v>33965700</v>
      </c>
    </row>
    <row r="708" spans="21:23">
      <c r="U708" s="144">
        <v>11752.7</v>
      </c>
      <c r="V708" s="144">
        <v>129661</v>
      </c>
      <c r="W708" s="143">
        <v>2604960</v>
      </c>
    </row>
    <row r="709" spans="21:23">
      <c r="U709" s="144">
        <v>23505.4</v>
      </c>
      <c r="V709" s="144">
        <v>129661</v>
      </c>
      <c r="W709" s="143">
        <v>1527410</v>
      </c>
    </row>
    <row r="710" spans="21:23">
      <c r="U710" s="144">
        <v>35258</v>
      </c>
      <c r="V710" s="144">
        <v>129661</v>
      </c>
      <c r="W710" s="143">
        <v>1265560</v>
      </c>
    </row>
    <row r="711" spans="21:23">
      <c r="U711" s="144">
        <v>47010.7</v>
      </c>
      <c r="V711" s="144">
        <v>129661</v>
      </c>
      <c r="W711" s="143">
        <v>859224</v>
      </c>
    </row>
    <row r="712" spans="21:23">
      <c r="U712" s="144">
        <v>58763.4</v>
      </c>
      <c r="V712" s="144">
        <v>129661</v>
      </c>
      <c r="W712" s="143">
        <v>568456</v>
      </c>
    </row>
    <row r="713" spans="21:23">
      <c r="U713" s="144">
        <v>70516</v>
      </c>
      <c r="V713" s="144">
        <v>129661</v>
      </c>
      <c r="W713" s="143">
        <v>345827</v>
      </c>
    </row>
    <row r="714" spans="21:23">
      <c r="U714" s="144">
        <v>82268.7</v>
      </c>
      <c r="V714" s="144">
        <v>129661</v>
      </c>
      <c r="W714" s="143">
        <v>191147</v>
      </c>
    </row>
    <row r="715" spans="21:23">
      <c r="U715" s="144">
        <v>94021.4</v>
      </c>
      <c r="V715" s="144">
        <v>129661</v>
      </c>
      <c r="W715" s="143">
        <v>121090</v>
      </c>
    </row>
    <row r="716" spans="21:23">
      <c r="U716" s="144">
        <v>105774</v>
      </c>
      <c r="V716" s="144">
        <v>129661</v>
      </c>
      <c r="W716" s="143">
        <v>55637.4</v>
      </c>
    </row>
    <row r="717" spans="21:23">
      <c r="U717" s="144">
        <v>117527</v>
      </c>
      <c r="V717" s="144">
        <v>129661</v>
      </c>
      <c r="W717" s="143">
        <v>28896.3</v>
      </c>
    </row>
    <row r="718" spans="21:23">
      <c r="U718" s="144">
        <v>129279</v>
      </c>
      <c r="V718" s="144">
        <v>129661</v>
      </c>
      <c r="W718" s="143">
        <v>15440.3</v>
      </c>
    </row>
    <row r="719" spans="21:23">
      <c r="U719" s="144">
        <v>141032</v>
      </c>
      <c r="V719" s="144">
        <v>129661</v>
      </c>
      <c r="W719" s="143">
        <v>6588.7</v>
      </c>
    </row>
    <row r="720" spans="21:23">
      <c r="U720" s="144">
        <v>152785</v>
      </c>
      <c r="V720" s="144">
        <v>129661</v>
      </c>
      <c r="W720" s="143">
        <v>2214.13</v>
      </c>
    </row>
    <row r="721" spans="21:23">
      <c r="U721" s="144">
        <v>164537</v>
      </c>
      <c r="V721" s="144">
        <v>129661</v>
      </c>
      <c r="W721" s="143">
        <v>1347.66</v>
      </c>
    </row>
    <row r="722" spans="21:23">
      <c r="U722" s="144">
        <v>176290</v>
      </c>
      <c r="V722" s="144">
        <v>129661</v>
      </c>
      <c r="W722" s="143">
        <v>284.86</v>
      </c>
    </row>
    <row r="723" spans="21:23">
      <c r="U723" s="144">
        <v>188043</v>
      </c>
      <c r="V723" s="144">
        <v>129661</v>
      </c>
      <c r="W723" s="143">
        <v>195.05</v>
      </c>
    </row>
    <row r="724" spans="21:23">
      <c r="U724" s="144">
        <v>199795</v>
      </c>
      <c r="V724" s="144">
        <v>129661</v>
      </c>
      <c r="W724" s="143">
        <v>110.5</v>
      </c>
    </row>
    <row r="725" spans="21:23">
      <c r="U725" s="144">
        <v>211548</v>
      </c>
      <c r="V725" s="144">
        <v>129661</v>
      </c>
      <c r="W725" s="143">
        <v>26.454999999999998</v>
      </c>
    </row>
    <row r="726" spans="21:23">
      <c r="U726" s="144">
        <v>340827</v>
      </c>
      <c r="V726" s="144">
        <v>129661</v>
      </c>
      <c r="W726" s="143">
        <v>0.12</v>
      </c>
    </row>
    <row r="727" spans="21:23">
      <c r="U727" s="144">
        <v>2.1692199999999998E-2</v>
      </c>
      <c r="V727" s="144">
        <v>144263</v>
      </c>
      <c r="W727" s="143">
        <v>28195100</v>
      </c>
    </row>
    <row r="728" spans="21:23">
      <c r="U728" s="144">
        <v>11752.7</v>
      </c>
      <c r="V728" s="144">
        <v>144263</v>
      </c>
      <c r="W728" s="143">
        <v>2107680</v>
      </c>
    </row>
    <row r="729" spans="21:23">
      <c r="U729" s="144">
        <v>23505.4</v>
      </c>
      <c r="V729" s="144">
        <v>144263</v>
      </c>
      <c r="W729" s="143">
        <v>1372860</v>
      </c>
    </row>
    <row r="730" spans="21:23">
      <c r="U730" s="144">
        <v>35258</v>
      </c>
      <c r="V730" s="144">
        <v>144263</v>
      </c>
      <c r="W730" s="143">
        <v>1209130</v>
      </c>
    </row>
    <row r="731" spans="21:23">
      <c r="U731" s="144">
        <v>47010.7</v>
      </c>
      <c r="V731" s="144">
        <v>144263</v>
      </c>
      <c r="W731" s="143">
        <v>813630</v>
      </c>
    </row>
    <row r="732" spans="21:23">
      <c r="U732" s="144">
        <v>58763.4</v>
      </c>
      <c r="V732" s="144">
        <v>144263</v>
      </c>
      <c r="W732" s="143">
        <v>481548</v>
      </c>
    </row>
    <row r="733" spans="21:23">
      <c r="U733" s="144">
        <v>70516</v>
      </c>
      <c r="V733" s="144">
        <v>144263</v>
      </c>
      <c r="W733" s="143">
        <v>293917</v>
      </c>
    </row>
    <row r="734" spans="21:23">
      <c r="U734" s="144">
        <v>82268.7</v>
      </c>
      <c r="V734" s="144">
        <v>144263</v>
      </c>
      <c r="W734" s="143">
        <v>148905</v>
      </c>
    </row>
    <row r="735" spans="21:23">
      <c r="U735" s="144">
        <v>94021.4</v>
      </c>
      <c r="V735" s="144">
        <v>144263</v>
      </c>
      <c r="W735" s="143">
        <v>80883.5</v>
      </c>
    </row>
    <row r="736" spans="21:23">
      <c r="U736" s="144">
        <v>105774</v>
      </c>
      <c r="V736" s="144">
        <v>144263</v>
      </c>
      <c r="W736" s="143">
        <v>55781.7</v>
      </c>
    </row>
    <row r="737" spans="21:23">
      <c r="U737" s="144">
        <v>117527</v>
      </c>
      <c r="V737" s="144">
        <v>144263</v>
      </c>
      <c r="W737" s="143">
        <v>28390</v>
      </c>
    </row>
    <row r="738" spans="21:23">
      <c r="U738" s="144">
        <v>129279</v>
      </c>
      <c r="V738" s="144">
        <v>144263</v>
      </c>
      <c r="W738" s="143">
        <v>14239.7</v>
      </c>
    </row>
    <row r="739" spans="21:23">
      <c r="U739" s="144">
        <v>141032</v>
      </c>
      <c r="V739" s="144">
        <v>144263</v>
      </c>
      <c r="W739" s="143">
        <v>6575.19</v>
      </c>
    </row>
    <row r="740" spans="21:23">
      <c r="U740" s="144">
        <v>152785</v>
      </c>
      <c r="V740" s="144">
        <v>144263</v>
      </c>
      <c r="W740" s="143">
        <v>653.73</v>
      </c>
    </row>
    <row r="741" spans="21:23">
      <c r="U741" s="144">
        <v>164537</v>
      </c>
      <c r="V741" s="144">
        <v>144263</v>
      </c>
      <c r="W741" s="143">
        <v>853.6</v>
      </c>
    </row>
    <row r="742" spans="21:23">
      <c r="U742" s="144">
        <v>176290</v>
      </c>
      <c r="V742" s="144">
        <v>144263</v>
      </c>
      <c r="W742" s="143">
        <v>568.23</v>
      </c>
    </row>
    <row r="743" spans="21:23">
      <c r="U743" s="144">
        <v>188043</v>
      </c>
      <c r="V743" s="144">
        <v>144263</v>
      </c>
      <c r="W743" s="143">
        <v>191.60499999999999</v>
      </c>
    </row>
    <row r="744" spans="21:23">
      <c r="U744" s="144">
        <v>199795</v>
      </c>
      <c r="V744" s="144">
        <v>144263</v>
      </c>
      <c r="W744" s="143">
        <v>2.64</v>
      </c>
    </row>
    <row r="745" spans="21:23">
      <c r="U745" s="144">
        <v>2.1692199999999998E-2</v>
      </c>
      <c r="V745" s="144">
        <v>158866</v>
      </c>
      <c r="W745" s="143">
        <v>24676000</v>
      </c>
    </row>
    <row r="746" spans="21:23">
      <c r="U746" s="144">
        <v>11752.7</v>
      </c>
      <c r="V746" s="144">
        <v>158866</v>
      </c>
      <c r="W746" s="143">
        <v>1677120</v>
      </c>
    </row>
    <row r="747" spans="21:23">
      <c r="U747" s="144">
        <v>23505.4</v>
      </c>
      <c r="V747" s="144">
        <v>158866</v>
      </c>
      <c r="W747" s="143">
        <v>1070720</v>
      </c>
    </row>
    <row r="748" spans="21:23">
      <c r="U748" s="144">
        <v>35258</v>
      </c>
      <c r="V748" s="144">
        <v>158866</v>
      </c>
      <c r="W748" s="143">
        <v>988627</v>
      </c>
    </row>
    <row r="749" spans="21:23">
      <c r="U749" s="144">
        <v>47010.7</v>
      </c>
      <c r="V749" s="144">
        <v>158866</v>
      </c>
      <c r="W749" s="143">
        <v>606907</v>
      </c>
    </row>
    <row r="750" spans="21:23">
      <c r="U750" s="144">
        <v>58763.4</v>
      </c>
      <c r="V750" s="144">
        <v>158866</v>
      </c>
      <c r="W750" s="143">
        <v>427120</v>
      </c>
    </row>
    <row r="751" spans="21:23">
      <c r="U751" s="144">
        <v>70516</v>
      </c>
      <c r="V751" s="144">
        <v>158866</v>
      </c>
      <c r="W751" s="143">
        <v>194939</v>
      </c>
    </row>
    <row r="752" spans="21:23">
      <c r="U752" s="144">
        <v>82268.7</v>
      </c>
      <c r="V752" s="144">
        <v>158866</v>
      </c>
      <c r="W752" s="143">
        <v>154339</v>
      </c>
    </row>
    <row r="753" spans="21:23">
      <c r="U753" s="144">
        <v>94021.4</v>
      </c>
      <c r="V753" s="144">
        <v>158866</v>
      </c>
      <c r="W753" s="143">
        <v>79786.2</v>
      </c>
    </row>
    <row r="754" spans="21:23">
      <c r="U754" s="144">
        <v>105774</v>
      </c>
      <c r="V754" s="144">
        <v>158866</v>
      </c>
      <c r="W754" s="143">
        <v>35065.4</v>
      </c>
    </row>
    <row r="755" spans="21:23">
      <c r="U755" s="144">
        <v>117527</v>
      </c>
      <c r="V755" s="144">
        <v>158866</v>
      </c>
      <c r="W755" s="143">
        <v>20479.7</v>
      </c>
    </row>
    <row r="756" spans="21:23">
      <c r="U756" s="144">
        <v>129279</v>
      </c>
      <c r="V756" s="144">
        <v>158866</v>
      </c>
      <c r="W756" s="143">
        <v>21087.599999999999</v>
      </c>
    </row>
    <row r="757" spans="21:23">
      <c r="U757" s="144">
        <v>141032</v>
      </c>
      <c r="V757" s="144">
        <v>158866</v>
      </c>
      <c r="W757" s="143">
        <v>6035.65</v>
      </c>
    </row>
    <row r="758" spans="21:23">
      <c r="U758" s="144">
        <v>152785</v>
      </c>
      <c r="V758" s="144">
        <v>158866</v>
      </c>
      <c r="W758" s="143">
        <v>774.43</v>
      </c>
    </row>
    <row r="759" spans="21:23">
      <c r="U759" s="144">
        <v>164537</v>
      </c>
      <c r="V759" s="144">
        <v>158866</v>
      </c>
      <c r="W759" s="143">
        <v>729.38</v>
      </c>
    </row>
    <row r="760" spans="21:23">
      <c r="U760" s="144">
        <v>176290</v>
      </c>
      <c r="V760" s="144">
        <v>158866</v>
      </c>
      <c r="W760" s="143">
        <v>133.1</v>
      </c>
    </row>
    <row r="761" spans="21:23">
      <c r="U761" s="144">
        <v>188043</v>
      </c>
      <c r="V761" s="144">
        <v>158866</v>
      </c>
      <c r="W761" s="143">
        <v>90.915000000000006</v>
      </c>
    </row>
    <row r="762" spans="21:23">
      <c r="U762" s="144">
        <v>199795</v>
      </c>
      <c r="V762" s="144">
        <v>158866</v>
      </c>
      <c r="W762" s="143">
        <v>133.1</v>
      </c>
    </row>
    <row r="763" spans="21:23">
      <c r="U763" s="144">
        <v>211548</v>
      </c>
      <c r="V763" s="144">
        <v>158866</v>
      </c>
      <c r="W763" s="143">
        <v>90.915000000000006</v>
      </c>
    </row>
    <row r="764" spans="21:23">
      <c r="U764" s="144">
        <v>223301</v>
      </c>
      <c r="V764" s="144">
        <v>158866</v>
      </c>
      <c r="W764" s="143">
        <v>130.46</v>
      </c>
    </row>
    <row r="765" spans="21:23">
      <c r="U765" s="144">
        <v>2.1692199999999998E-2</v>
      </c>
      <c r="V765" s="144">
        <v>173468</v>
      </c>
      <c r="W765" s="143">
        <v>22931700</v>
      </c>
    </row>
    <row r="766" spans="21:23">
      <c r="U766" s="144">
        <v>11752.7</v>
      </c>
      <c r="V766" s="144">
        <v>173468</v>
      </c>
      <c r="W766" s="143">
        <v>1413790</v>
      </c>
    </row>
    <row r="767" spans="21:23">
      <c r="U767" s="144">
        <v>23505.4</v>
      </c>
      <c r="V767" s="144">
        <v>173468</v>
      </c>
      <c r="W767" s="143">
        <v>982439</v>
      </c>
    </row>
    <row r="768" spans="21:23">
      <c r="U768" s="144">
        <v>35258</v>
      </c>
      <c r="V768" s="144">
        <v>173468</v>
      </c>
      <c r="W768" s="143">
        <v>968785</v>
      </c>
    </row>
    <row r="769" spans="21:23">
      <c r="U769" s="144">
        <v>47010.7</v>
      </c>
      <c r="V769" s="144">
        <v>173468</v>
      </c>
      <c r="W769" s="143">
        <v>637197</v>
      </c>
    </row>
    <row r="770" spans="21:23">
      <c r="U770" s="144">
        <v>58763.4</v>
      </c>
      <c r="V770" s="144">
        <v>173468</v>
      </c>
      <c r="W770" s="143">
        <v>409785</v>
      </c>
    </row>
    <row r="771" spans="21:23">
      <c r="U771" s="144">
        <v>70516</v>
      </c>
      <c r="V771" s="144">
        <v>173468</v>
      </c>
      <c r="W771" s="143">
        <v>250749</v>
      </c>
    </row>
    <row r="772" spans="21:23">
      <c r="U772" s="144">
        <v>82268.7</v>
      </c>
      <c r="V772" s="144">
        <v>173468</v>
      </c>
      <c r="W772" s="143">
        <v>143459</v>
      </c>
    </row>
    <row r="773" spans="21:23">
      <c r="U773" s="144">
        <v>94021.4</v>
      </c>
      <c r="V773" s="144">
        <v>173468</v>
      </c>
      <c r="W773" s="143">
        <v>87249.3</v>
      </c>
    </row>
    <row r="774" spans="21:23">
      <c r="U774" s="144">
        <v>105774</v>
      </c>
      <c r="V774" s="144">
        <v>173468</v>
      </c>
      <c r="W774" s="143">
        <v>65221</v>
      </c>
    </row>
    <row r="775" spans="21:23">
      <c r="U775" s="144">
        <v>117527</v>
      </c>
      <c r="V775" s="144">
        <v>173468</v>
      </c>
      <c r="W775" s="143">
        <v>31804.799999999999</v>
      </c>
    </row>
    <row r="776" spans="21:23">
      <c r="U776" s="144">
        <v>129279</v>
      </c>
      <c r="V776" s="144">
        <v>173468</v>
      </c>
      <c r="W776" s="143">
        <v>15540.7</v>
      </c>
    </row>
    <row r="777" spans="21:23">
      <c r="U777" s="144">
        <v>141032</v>
      </c>
      <c r="V777" s="144">
        <v>173468</v>
      </c>
      <c r="W777" s="143">
        <v>12710.1</v>
      </c>
    </row>
    <row r="778" spans="21:23">
      <c r="U778" s="144">
        <v>152785</v>
      </c>
      <c r="V778" s="144">
        <v>173468</v>
      </c>
      <c r="W778" s="143">
        <v>5654.07</v>
      </c>
    </row>
    <row r="779" spans="21:23">
      <c r="U779" s="144">
        <v>164537</v>
      </c>
      <c r="V779" s="144">
        <v>173468</v>
      </c>
      <c r="W779" s="143">
        <v>2230.73</v>
      </c>
    </row>
    <row r="780" spans="21:23">
      <c r="U780" s="144">
        <v>176290</v>
      </c>
      <c r="V780" s="144">
        <v>173468</v>
      </c>
      <c r="W780" s="143">
        <v>3458.96</v>
      </c>
    </row>
    <row r="781" spans="21:23">
      <c r="U781" s="144">
        <v>188043</v>
      </c>
      <c r="V781" s="144">
        <v>173468</v>
      </c>
      <c r="W781" s="143">
        <v>268.83999999999997</v>
      </c>
    </row>
    <row r="782" spans="21:23">
      <c r="U782" s="144">
        <v>199795</v>
      </c>
      <c r="V782" s="144">
        <v>173468</v>
      </c>
      <c r="W782" s="143">
        <v>231.035</v>
      </c>
    </row>
    <row r="783" spans="21:23">
      <c r="U783" s="144">
        <v>2.1692199999999998E-2</v>
      </c>
      <c r="V783" s="144">
        <v>188070</v>
      </c>
      <c r="W783" s="143">
        <v>19868000</v>
      </c>
    </row>
    <row r="784" spans="21:23">
      <c r="U784" s="144">
        <v>11752.7</v>
      </c>
      <c r="V784" s="144">
        <v>188070</v>
      </c>
      <c r="W784" s="143">
        <v>1245370</v>
      </c>
    </row>
    <row r="785" spans="21:23">
      <c r="U785" s="144">
        <v>23505.4</v>
      </c>
      <c r="V785" s="144">
        <v>188070</v>
      </c>
      <c r="W785" s="143">
        <v>891779</v>
      </c>
    </row>
    <row r="786" spans="21:23">
      <c r="U786" s="144">
        <v>35258</v>
      </c>
      <c r="V786" s="144">
        <v>188070</v>
      </c>
      <c r="W786" s="143">
        <v>856212</v>
      </c>
    </row>
    <row r="787" spans="21:23">
      <c r="U787" s="144">
        <v>47010.7</v>
      </c>
      <c r="V787" s="144">
        <v>188070</v>
      </c>
      <c r="W787" s="143">
        <v>642953</v>
      </c>
    </row>
    <row r="788" spans="21:23">
      <c r="U788" s="144">
        <v>58763.4</v>
      </c>
      <c r="V788" s="144">
        <v>188070</v>
      </c>
      <c r="W788" s="143">
        <v>377432</v>
      </c>
    </row>
    <row r="789" spans="21:23">
      <c r="U789" s="144">
        <v>70516</v>
      </c>
      <c r="V789" s="144">
        <v>188070</v>
      </c>
      <c r="W789" s="143">
        <v>214886</v>
      </c>
    </row>
    <row r="790" spans="21:23">
      <c r="U790" s="144">
        <v>82268.7</v>
      </c>
      <c r="V790" s="144">
        <v>188070</v>
      </c>
      <c r="W790" s="143">
        <v>116659</v>
      </c>
    </row>
    <row r="791" spans="21:23">
      <c r="U791" s="144">
        <v>94021.4</v>
      </c>
      <c r="V791" s="144">
        <v>188070</v>
      </c>
      <c r="W791" s="143">
        <v>59059.1</v>
      </c>
    </row>
    <row r="792" spans="21:23">
      <c r="U792" s="144">
        <v>105774</v>
      </c>
      <c r="V792" s="144">
        <v>188070</v>
      </c>
      <c r="W792" s="143">
        <v>33241</v>
      </c>
    </row>
    <row r="793" spans="21:23">
      <c r="U793" s="144">
        <v>117527</v>
      </c>
      <c r="V793" s="144">
        <v>188070</v>
      </c>
      <c r="W793" s="143">
        <v>28941.1</v>
      </c>
    </row>
    <row r="794" spans="21:23">
      <c r="U794" s="144">
        <v>129279</v>
      </c>
      <c r="V794" s="144">
        <v>188070</v>
      </c>
      <c r="W794" s="143">
        <v>10162.700000000001</v>
      </c>
    </row>
    <row r="795" spans="21:23">
      <c r="U795" s="144">
        <v>141032</v>
      </c>
      <c r="V795" s="144">
        <v>188070</v>
      </c>
      <c r="W795" s="143">
        <v>3614.53</v>
      </c>
    </row>
    <row r="796" spans="21:23">
      <c r="U796" s="144">
        <v>152785</v>
      </c>
      <c r="V796" s="144">
        <v>188070</v>
      </c>
      <c r="W796" s="143">
        <v>3407.27</v>
      </c>
    </row>
    <row r="797" spans="21:23">
      <c r="U797" s="144">
        <v>164537</v>
      </c>
      <c r="V797" s="144">
        <v>188070</v>
      </c>
      <c r="W797" s="143">
        <v>1878.35</v>
      </c>
    </row>
    <row r="798" spans="21:23">
      <c r="U798" s="144">
        <v>176290</v>
      </c>
      <c r="V798" s="144">
        <v>188070</v>
      </c>
      <c r="W798" s="143">
        <v>1154.72</v>
      </c>
    </row>
    <row r="799" spans="21:23">
      <c r="U799" s="144">
        <v>188043</v>
      </c>
      <c r="V799" s="144">
        <v>188070</v>
      </c>
      <c r="W799" s="143">
        <v>1035.01</v>
      </c>
    </row>
    <row r="800" spans="21:23">
      <c r="U800" s="144">
        <v>199795</v>
      </c>
      <c r="V800" s="144">
        <v>188070</v>
      </c>
      <c r="W800" s="143">
        <v>8.34</v>
      </c>
    </row>
    <row r="801" spans="21:23">
      <c r="U801" s="144">
        <v>2.1692199999999998E-2</v>
      </c>
      <c r="V801" s="144">
        <v>202673</v>
      </c>
      <c r="W801" s="143">
        <v>16406800</v>
      </c>
    </row>
    <row r="802" spans="21:23">
      <c r="U802" s="144">
        <v>11752.7</v>
      </c>
      <c r="V802" s="144">
        <v>202673</v>
      </c>
      <c r="W802" s="143">
        <v>1019210</v>
      </c>
    </row>
    <row r="803" spans="21:23">
      <c r="U803" s="144">
        <v>23505.4</v>
      </c>
      <c r="V803" s="144">
        <v>202673</v>
      </c>
      <c r="W803" s="143">
        <v>804254</v>
      </c>
    </row>
    <row r="804" spans="21:23">
      <c r="U804" s="144">
        <v>35258</v>
      </c>
      <c r="V804" s="144">
        <v>202673</v>
      </c>
      <c r="W804" s="143">
        <v>671969</v>
      </c>
    </row>
    <row r="805" spans="21:23">
      <c r="U805" s="144">
        <v>47010.7</v>
      </c>
      <c r="V805" s="144">
        <v>202673</v>
      </c>
      <c r="W805" s="143">
        <v>486710</v>
      </c>
    </row>
    <row r="806" spans="21:23">
      <c r="U806" s="144">
        <v>58763.4</v>
      </c>
      <c r="V806" s="144">
        <v>202673</v>
      </c>
      <c r="W806" s="143">
        <v>311773</v>
      </c>
    </row>
    <row r="807" spans="21:23">
      <c r="U807" s="144">
        <v>70516</v>
      </c>
      <c r="V807" s="144">
        <v>202673</v>
      </c>
      <c r="W807" s="143">
        <v>199364</v>
      </c>
    </row>
    <row r="808" spans="21:23">
      <c r="U808" s="144">
        <v>82268.7</v>
      </c>
      <c r="V808" s="144">
        <v>202673</v>
      </c>
      <c r="W808" s="143">
        <v>87271.7</v>
      </c>
    </row>
    <row r="809" spans="21:23">
      <c r="U809" s="144">
        <v>94021.4</v>
      </c>
      <c r="V809" s="144">
        <v>202673</v>
      </c>
      <c r="W809" s="143">
        <v>55621.2</v>
      </c>
    </row>
    <row r="810" spans="21:23">
      <c r="U810" s="144">
        <v>105774</v>
      </c>
      <c r="V810" s="144">
        <v>202673</v>
      </c>
      <c r="W810" s="143">
        <v>43562.3</v>
      </c>
    </row>
    <row r="811" spans="21:23">
      <c r="U811" s="144">
        <v>117527</v>
      </c>
      <c r="V811" s="144">
        <v>202673</v>
      </c>
      <c r="W811" s="143">
        <v>16755.5</v>
      </c>
    </row>
    <row r="812" spans="21:23">
      <c r="U812" s="144">
        <v>129279</v>
      </c>
      <c r="V812" s="144">
        <v>202673</v>
      </c>
      <c r="W812" s="143">
        <v>15102</v>
      </c>
    </row>
    <row r="813" spans="21:23">
      <c r="U813" s="144">
        <v>141032</v>
      </c>
      <c r="V813" s="144">
        <v>202673</v>
      </c>
      <c r="W813" s="143">
        <v>10533.9</v>
      </c>
    </row>
    <row r="814" spans="21:23">
      <c r="U814" s="144">
        <v>152785</v>
      </c>
      <c r="V814" s="144">
        <v>202673</v>
      </c>
      <c r="W814" s="143">
        <v>6218.94</v>
      </c>
    </row>
    <row r="815" spans="21:23">
      <c r="U815" s="144">
        <v>164537</v>
      </c>
      <c r="V815" s="144">
        <v>202673</v>
      </c>
      <c r="W815" s="143">
        <v>1955.67</v>
      </c>
    </row>
    <row r="816" spans="21:23">
      <c r="U816" s="144">
        <v>176290</v>
      </c>
      <c r="V816" s="144">
        <v>202673</v>
      </c>
      <c r="W816" s="143">
        <v>888.22500000000002</v>
      </c>
    </row>
    <row r="817" spans="21:23">
      <c r="U817" s="144">
        <v>199795</v>
      </c>
      <c r="V817" s="144">
        <v>202673</v>
      </c>
      <c r="W817" s="143">
        <v>112.745</v>
      </c>
    </row>
    <row r="818" spans="21:23">
      <c r="U818" s="144">
        <v>223301</v>
      </c>
      <c r="V818" s="144">
        <v>202673</v>
      </c>
      <c r="W818" s="143">
        <v>2.64</v>
      </c>
    </row>
    <row r="819" spans="21:23">
      <c r="U819" s="144">
        <v>2.1692199999999998E-2</v>
      </c>
      <c r="V819" s="144">
        <v>217275</v>
      </c>
      <c r="W819" s="143">
        <v>12613400</v>
      </c>
    </row>
    <row r="820" spans="21:23">
      <c r="U820" s="144">
        <v>11752.7</v>
      </c>
      <c r="V820" s="144">
        <v>217275</v>
      </c>
      <c r="W820" s="143">
        <v>810274</v>
      </c>
    </row>
    <row r="821" spans="21:23">
      <c r="U821" s="144">
        <v>23505.4</v>
      </c>
      <c r="V821" s="144">
        <v>217275</v>
      </c>
      <c r="W821" s="143">
        <v>569689</v>
      </c>
    </row>
    <row r="822" spans="21:23">
      <c r="U822" s="144">
        <v>35258</v>
      </c>
      <c r="V822" s="144">
        <v>217275</v>
      </c>
      <c r="W822" s="143">
        <v>524828</v>
      </c>
    </row>
    <row r="823" spans="21:23">
      <c r="U823" s="144">
        <v>47010.7</v>
      </c>
      <c r="V823" s="144">
        <v>217275</v>
      </c>
      <c r="W823" s="143">
        <v>386169</v>
      </c>
    </row>
    <row r="824" spans="21:23">
      <c r="U824" s="144">
        <v>58763.4</v>
      </c>
      <c r="V824" s="144">
        <v>217275</v>
      </c>
      <c r="W824" s="143">
        <v>269394</v>
      </c>
    </row>
    <row r="825" spans="21:23">
      <c r="U825" s="144">
        <v>70516</v>
      </c>
      <c r="V825" s="144">
        <v>217275</v>
      </c>
      <c r="W825" s="143">
        <v>146886</v>
      </c>
    </row>
    <row r="826" spans="21:23">
      <c r="U826" s="144">
        <v>82268.7</v>
      </c>
      <c r="V826" s="144">
        <v>217275</v>
      </c>
      <c r="W826" s="143">
        <v>84485.7</v>
      </c>
    </row>
    <row r="827" spans="21:23">
      <c r="U827" s="144">
        <v>94021.4</v>
      </c>
      <c r="V827" s="144">
        <v>217275</v>
      </c>
      <c r="W827" s="143">
        <v>47394.1</v>
      </c>
    </row>
    <row r="828" spans="21:23">
      <c r="U828" s="144">
        <v>105774</v>
      </c>
      <c r="V828" s="144">
        <v>217275</v>
      </c>
      <c r="W828" s="143">
        <v>30243.1</v>
      </c>
    </row>
    <row r="829" spans="21:23">
      <c r="U829" s="144">
        <v>117527</v>
      </c>
      <c r="V829" s="144">
        <v>217275</v>
      </c>
      <c r="W829" s="143">
        <v>14602.8</v>
      </c>
    </row>
    <row r="830" spans="21:23">
      <c r="U830" s="144">
        <v>129279</v>
      </c>
      <c r="V830" s="144">
        <v>217275</v>
      </c>
      <c r="W830" s="143">
        <v>11653.2</v>
      </c>
    </row>
    <row r="831" spans="21:23">
      <c r="U831" s="144">
        <v>141032</v>
      </c>
      <c r="V831" s="144">
        <v>217275</v>
      </c>
      <c r="W831" s="143">
        <v>6642.43</v>
      </c>
    </row>
    <row r="832" spans="21:23">
      <c r="U832" s="144">
        <v>152785</v>
      </c>
      <c r="V832" s="144">
        <v>217275</v>
      </c>
      <c r="W832" s="143">
        <v>6598.29</v>
      </c>
    </row>
    <row r="833" spans="21:23">
      <c r="U833" s="144">
        <v>164537</v>
      </c>
      <c r="V833" s="144">
        <v>217275</v>
      </c>
      <c r="W833" s="143">
        <v>854.19500000000005</v>
      </c>
    </row>
    <row r="834" spans="21:23">
      <c r="U834" s="144">
        <v>176290</v>
      </c>
      <c r="V834" s="144">
        <v>217275</v>
      </c>
      <c r="W834" s="143">
        <v>112.745</v>
      </c>
    </row>
    <row r="835" spans="21:23">
      <c r="U835" s="144">
        <v>2.1692199999999998E-2</v>
      </c>
      <c r="V835" s="144">
        <v>231877</v>
      </c>
      <c r="W835" s="143">
        <v>8691670</v>
      </c>
    </row>
    <row r="836" spans="21:23">
      <c r="U836" s="144">
        <v>11752.7</v>
      </c>
      <c r="V836" s="144">
        <v>231877</v>
      </c>
      <c r="W836" s="143">
        <v>516937</v>
      </c>
    </row>
    <row r="837" spans="21:23">
      <c r="U837" s="144">
        <v>23505.4</v>
      </c>
      <c r="V837" s="144">
        <v>231877</v>
      </c>
      <c r="W837" s="143">
        <v>396035</v>
      </c>
    </row>
    <row r="838" spans="21:23">
      <c r="U838" s="144">
        <v>35258</v>
      </c>
      <c r="V838" s="144">
        <v>231877</v>
      </c>
      <c r="W838" s="143">
        <v>448165</v>
      </c>
    </row>
    <row r="839" spans="21:23">
      <c r="U839" s="144">
        <v>47010.7</v>
      </c>
      <c r="V839" s="144">
        <v>231877</v>
      </c>
      <c r="W839" s="143">
        <v>317507</v>
      </c>
    </row>
    <row r="840" spans="21:23">
      <c r="U840" s="144">
        <v>58763.4</v>
      </c>
      <c r="V840" s="144">
        <v>231877</v>
      </c>
      <c r="W840" s="143">
        <v>231798</v>
      </c>
    </row>
    <row r="841" spans="21:23">
      <c r="U841" s="144">
        <v>70516</v>
      </c>
      <c r="V841" s="144">
        <v>231877</v>
      </c>
      <c r="W841" s="143">
        <v>103847</v>
      </c>
    </row>
    <row r="842" spans="21:23">
      <c r="U842" s="144">
        <v>82268.7</v>
      </c>
      <c r="V842" s="144">
        <v>231877</v>
      </c>
      <c r="W842" s="143">
        <v>64717.599999999999</v>
      </c>
    </row>
    <row r="843" spans="21:23">
      <c r="U843" s="144">
        <v>94021.4</v>
      </c>
      <c r="V843" s="144">
        <v>231877</v>
      </c>
      <c r="W843" s="143">
        <v>33825.300000000003</v>
      </c>
    </row>
    <row r="844" spans="21:23">
      <c r="U844" s="144">
        <v>105774</v>
      </c>
      <c r="V844" s="144">
        <v>231877</v>
      </c>
      <c r="W844" s="143">
        <v>20380.599999999999</v>
      </c>
    </row>
    <row r="845" spans="21:23">
      <c r="U845" s="144">
        <v>117527</v>
      </c>
      <c r="V845" s="144">
        <v>231877</v>
      </c>
      <c r="W845" s="143">
        <v>4358.99</v>
      </c>
    </row>
    <row r="846" spans="21:23">
      <c r="U846" s="144">
        <v>129279</v>
      </c>
      <c r="V846" s="144">
        <v>231877</v>
      </c>
      <c r="W846" s="143">
        <v>5314.26</v>
      </c>
    </row>
    <row r="847" spans="21:23">
      <c r="U847" s="144">
        <v>141032</v>
      </c>
      <c r="V847" s="144">
        <v>231877</v>
      </c>
      <c r="W847" s="143">
        <v>2784.22</v>
      </c>
    </row>
    <row r="848" spans="21:23">
      <c r="U848" s="144">
        <v>2.1692199999999998E-2</v>
      </c>
      <c r="V848" s="144">
        <v>246480</v>
      </c>
      <c r="W848" s="143">
        <v>3899600</v>
      </c>
    </row>
    <row r="849" spans="21:23">
      <c r="U849" s="144">
        <v>11752.7</v>
      </c>
      <c r="V849" s="144">
        <v>246480</v>
      </c>
      <c r="W849" s="143">
        <v>179672</v>
      </c>
    </row>
    <row r="850" spans="21:23">
      <c r="U850" s="144">
        <v>23505.4</v>
      </c>
      <c r="V850" s="144">
        <v>246480</v>
      </c>
      <c r="W850" s="143">
        <v>108069</v>
      </c>
    </row>
    <row r="851" spans="21:23">
      <c r="U851" s="144">
        <v>35258</v>
      </c>
      <c r="V851" s="144">
        <v>246480</v>
      </c>
      <c r="W851" s="143">
        <v>124830</v>
      </c>
    </row>
    <row r="852" spans="21:23">
      <c r="U852" s="144">
        <v>47010.7</v>
      </c>
      <c r="V852" s="144">
        <v>246480</v>
      </c>
      <c r="W852" s="143">
        <v>87735.9</v>
      </c>
    </row>
    <row r="853" spans="21:23">
      <c r="U853" s="144">
        <v>58763.4</v>
      </c>
      <c r="V853" s="144">
        <v>246480</v>
      </c>
      <c r="W853" s="143">
        <v>61274.1</v>
      </c>
    </row>
    <row r="854" spans="21:23">
      <c r="U854" s="144">
        <v>70516</v>
      </c>
      <c r="V854" s="144">
        <v>246480</v>
      </c>
      <c r="W854" s="143">
        <v>33789.699999999997</v>
      </c>
    </row>
    <row r="855" spans="21:23">
      <c r="U855" s="144">
        <v>82268.7</v>
      </c>
      <c r="V855" s="144">
        <v>246480</v>
      </c>
      <c r="W855" s="143">
        <v>18217.8</v>
      </c>
    </row>
    <row r="856" spans="21:23">
      <c r="U856" s="144">
        <v>94021.4</v>
      </c>
      <c r="V856" s="144">
        <v>246480</v>
      </c>
      <c r="W856" s="143">
        <v>7318.35</v>
      </c>
    </row>
    <row r="857" spans="21:23">
      <c r="U857" s="144">
        <v>105774</v>
      </c>
      <c r="V857" s="144">
        <v>246480</v>
      </c>
      <c r="W857" s="143">
        <v>3416.78</v>
      </c>
    </row>
    <row r="858" spans="21:23">
      <c r="U858" s="144">
        <v>2.1692199999999998E-2</v>
      </c>
      <c r="V858" s="144">
        <v>261082</v>
      </c>
      <c r="W858" s="143">
        <v>1108990</v>
      </c>
    </row>
    <row r="859" spans="21:23">
      <c r="U859" s="144">
        <v>11752.7</v>
      </c>
      <c r="V859" s="144">
        <v>261082</v>
      </c>
      <c r="W859" s="143">
        <v>12063.6</v>
      </c>
    </row>
    <row r="860" spans="21:23">
      <c r="U860" s="144">
        <v>23505.4</v>
      </c>
      <c r="V860" s="144">
        <v>261082</v>
      </c>
      <c r="W860" s="143">
        <v>3733.57</v>
      </c>
    </row>
    <row r="861" spans="21:23">
      <c r="U861" s="144">
        <v>35258</v>
      </c>
      <c r="V861" s="144">
        <v>261082</v>
      </c>
      <c r="W861" s="143">
        <v>3781.87</v>
      </c>
    </row>
    <row r="862" spans="21:23">
      <c r="U862" s="144">
        <v>47010.7</v>
      </c>
      <c r="V862" s="144">
        <v>261082</v>
      </c>
      <c r="W862" s="143">
        <v>6012.9</v>
      </c>
    </row>
    <row r="863" spans="21:23">
      <c r="U863" s="144">
        <v>70516</v>
      </c>
      <c r="V863" s="144">
        <v>261082</v>
      </c>
      <c r="W863" s="143">
        <v>225.49</v>
      </c>
    </row>
    <row r="864" spans="21:23">
      <c r="U864" s="144">
        <v>82268.7</v>
      </c>
      <c r="V864" s="144">
        <v>261082</v>
      </c>
      <c r="W864" s="143">
        <v>1812.11</v>
      </c>
    </row>
    <row r="865" spans="21:23">
      <c r="U865" s="144">
        <v>2.1692199999999998E-2</v>
      </c>
      <c r="V865" s="144">
        <v>275684</v>
      </c>
      <c r="W865" s="143">
        <v>243900</v>
      </c>
    </row>
    <row r="866" spans="21:23">
      <c r="U866" s="144">
        <v>11752.7</v>
      </c>
      <c r="V866" s="144">
        <v>275684</v>
      </c>
      <c r="W866" s="143">
        <v>3918.82</v>
      </c>
    </row>
    <row r="867" spans="21:23">
      <c r="U867" s="144">
        <v>2.1692199999999998E-2</v>
      </c>
      <c r="V867" s="144">
        <v>290287</v>
      </c>
      <c r="W867" s="143">
        <v>14445.8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340</vt:i4>
      </vt:variant>
    </vt:vector>
  </HeadingPairs>
  <TitlesOfParts>
    <vt:vector size="346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PyFlange_Gap120deg!fatigue.damage</vt:lpstr>
      <vt:lpstr>PyFlange_Gap30deg!fatigue.damage</vt:lpstr>
      <vt:lpstr>PyFlange_Gap60deg!fatigue.damage</vt:lpstr>
      <vt:lpstr>PyFlange_Gap90deg!fatigue.damage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SGRE!markov_matrix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2024-11-06T21:32:29Z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