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C7C53769-CF33-4184-AF34-83D41D603454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atigue.damage" localSheetId="4">PyFlange_Gap120deg!$J$169</definedName>
    <definedName name="fatigue.damage" localSheetId="1">PyFlange_Gap30deg!$J$169</definedName>
    <definedName name="fatigue.damage" localSheetId="2">PyFlange_Gap60deg!$J$169</definedName>
    <definedName name="fatigue.damage" localSheetId="3">PyFlange_Gap90deg!$J$169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arkov_matrix" localSheetId="5">SGRE!$U$16:$W$1216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PyFlange_Gap120deg!$A$11:$K$178</definedName>
    <definedName name="_xlnm.Print_Area" localSheetId="1">PyFlange_Gap30deg!$A$11:$K$178</definedName>
    <definedName name="_xlnm.Print_Area" localSheetId="2">PyFlange_Gap60deg!$A$11:$K$178</definedName>
    <definedName name="_xlnm.Print_Area" localSheetId="3">PyFlange_Gap90deg!$A$11:$K$178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I28" i="19" s="1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E43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I102" i="19"/>
  <c r="I103" i="19" s="1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2" i="19"/>
  <c r="E103" i="19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58" i="19" l="1"/>
  <c r="E59" i="19" s="1"/>
  <c r="E34" i="19"/>
  <c r="E28" i="19" s="1"/>
  <c r="F105" i="19"/>
  <c r="P105" i="19" s="1"/>
  <c r="P104" i="19"/>
  <c r="Z2" i="16" l="1"/>
  <c r="E114" i="16" l="1" a="1"/>
  <c r="E114" i="16" s="1"/>
  <c r="E105" i="16" a="1"/>
  <c r="E105" i="16" s="1"/>
  <c r="E97" i="16" a="1"/>
  <c r="E97" i="16" s="1"/>
  <c r="E86" i="16" a="1"/>
  <c r="E86" i="16" s="1"/>
  <c r="E76" i="16" a="1"/>
  <c r="E76" i="16" s="1"/>
  <c r="E68" i="16" a="1"/>
  <c r="E68" i="16" s="1"/>
  <c r="E60" i="16" a="1"/>
  <c r="E60" i="16" s="1"/>
  <c r="E52" i="16" a="1"/>
  <c r="E52" i="16" s="1"/>
  <c r="E39" i="16" a="1"/>
  <c r="E39" i="16" s="1"/>
  <c r="E31" i="16" a="1"/>
  <c r="E31" i="16" s="1"/>
  <c r="E22" i="16" a="1"/>
  <c r="E22" i="16" s="1"/>
  <c r="E14" i="16" a="1"/>
  <c r="E14" i="16" s="1"/>
  <c r="E6" i="16" a="1"/>
  <c r="E6" i="16" s="1"/>
  <c r="E110" i="16" a="1"/>
  <c r="E110" i="16" s="1"/>
  <c r="E57" i="16" a="1"/>
  <c r="E57" i="16" s="1"/>
  <c r="E11" i="16" a="1"/>
  <c r="E11" i="16" s="1"/>
  <c r="E26" i="16" a="1"/>
  <c r="E26" i="16" s="1"/>
  <c r="E78" i="16" a="1"/>
  <c r="E78" i="16" s="1"/>
  <c r="E46" i="16" a="1"/>
  <c r="E46" i="16" s="1"/>
  <c r="E16" i="16" a="1"/>
  <c r="E16" i="16" s="1"/>
  <c r="E87" i="16" a="1"/>
  <c r="E87" i="16" s="1"/>
  <c r="E32" i="16" a="1"/>
  <c r="E32" i="16" s="1"/>
  <c r="E112" i="16" a="1"/>
  <c r="E112" i="16" s="1"/>
  <c r="E104" i="16" a="1"/>
  <c r="E104" i="16" s="1"/>
  <c r="E96" i="16" a="1"/>
  <c r="E96" i="16" s="1"/>
  <c r="E85" i="16" a="1"/>
  <c r="E85" i="16" s="1"/>
  <c r="E75" i="16" a="1"/>
  <c r="E75" i="16" s="1"/>
  <c r="E67" i="16" a="1"/>
  <c r="E67" i="16" s="1"/>
  <c r="E59" i="16" a="1"/>
  <c r="E59" i="16" s="1"/>
  <c r="E51" i="16" a="1"/>
  <c r="E51" i="16" s="1"/>
  <c r="E38" i="16" a="1"/>
  <c r="E38" i="16" s="1"/>
  <c r="E30" i="16" a="1"/>
  <c r="E30" i="16" s="1"/>
  <c r="E21" i="16" a="1"/>
  <c r="E21" i="16" s="1"/>
  <c r="E13" i="16" a="1"/>
  <c r="E13" i="16" s="1"/>
  <c r="E91" i="16" a="1"/>
  <c r="E91" i="16" s="1"/>
  <c r="E73" i="16" a="1"/>
  <c r="E73" i="16" s="1"/>
  <c r="E49" i="16" a="1"/>
  <c r="E49" i="16" s="1"/>
  <c r="E28" i="16" a="1"/>
  <c r="E28" i="16" s="1"/>
  <c r="E55" i="16" a="1"/>
  <c r="E55" i="16" s="1"/>
  <c r="E9" i="16" a="1"/>
  <c r="E9" i="16" s="1"/>
  <c r="E99" i="16" a="1"/>
  <c r="E99" i="16" s="1"/>
  <c r="E70" i="16" a="1"/>
  <c r="E70" i="16" s="1"/>
  <c r="E33" i="16" a="1"/>
  <c r="E33" i="16" s="1"/>
  <c r="E106" i="16" a="1"/>
  <c r="E106" i="16" s="1"/>
  <c r="E61" i="16" a="1"/>
  <c r="E61" i="16" s="1"/>
  <c r="E45" i="16" a="1"/>
  <c r="E45" i="16" s="1"/>
  <c r="E15" i="16" a="1"/>
  <c r="E15" i="16" s="1"/>
  <c r="E111" i="16" a="1"/>
  <c r="E111" i="16" s="1"/>
  <c r="E103" i="16" a="1"/>
  <c r="E103" i="16" s="1"/>
  <c r="E92" i="16" a="1"/>
  <c r="E92" i="16" s="1"/>
  <c r="E83" i="16" a="1"/>
  <c r="E83" i="16" s="1"/>
  <c r="E74" i="16" a="1"/>
  <c r="E74" i="16" s="1"/>
  <c r="E66" i="16" a="1"/>
  <c r="E66" i="16" s="1"/>
  <c r="E58" i="16" a="1"/>
  <c r="E58" i="16" s="1"/>
  <c r="E50" i="16" a="1"/>
  <c r="E50" i="16" s="1"/>
  <c r="E37" i="16" a="1"/>
  <c r="E37" i="16" s="1"/>
  <c r="E29" i="16" a="1"/>
  <c r="E29" i="16" s="1"/>
  <c r="E20" i="16" a="1"/>
  <c r="E20" i="16" s="1"/>
  <c r="E12" i="16" a="1"/>
  <c r="E12" i="16" s="1"/>
  <c r="E102" i="16" a="1"/>
  <c r="E102" i="16" s="1"/>
  <c r="E65" i="16" a="1"/>
  <c r="E65" i="16" s="1"/>
  <c r="E36" i="16" a="1"/>
  <c r="E36" i="16" s="1"/>
  <c r="E19" i="16" a="1"/>
  <c r="E19" i="16" s="1"/>
  <c r="E47" i="16" a="1"/>
  <c r="E47" i="16" s="1"/>
  <c r="E17" i="16" a="1"/>
  <c r="E17" i="16" s="1"/>
  <c r="E62" i="16" a="1"/>
  <c r="E62" i="16" s="1"/>
  <c r="E24" i="16" a="1"/>
  <c r="E24" i="16" s="1"/>
  <c r="E98" i="16" a="1"/>
  <c r="E98" i="16" s="1"/>
  <c r="E69" i="16" a="1"/>
  <c r="E69" i="16" s="1"/>
  <c r="E53" i="16" a="1"/>
  <c r="E53" i="16" s="1"/>
  <c r="E7" i="16" a="1"/>
  <c r="E7" i="16" s="1"/>
  <c r="E82" i="16" a="1"/>
  <c r="E82" i="16" s="1"/>
  <c r="E23" i="16" a="1"/>
  <c r="E23" i="16" s="1"/>
  <c r="E109" i="16" a="1"/>
  <c r="E109" i="16" s="1"/>
  <c r="E101" i="16" a="1"/>
  <c r="E101" i="16" s="1"/>
  <c r="E89" i="16" a="1"/>
  <c r="E89" i="16" s="1"/>
  <c r="E81" i="16" a="1"/>
  <c r="E81" i="16" s="1"/>
  <c r="E72" i="16" a="1"/>
  <c r="E72" i="16" s="1"/>
  <c r="E64" i="16" a="1"/>
  <c r="E64" i="16" s="1"/>
  <c r="E56" i="16" a="1"/>
  <c r="E56" i="16" s="1"/>
  <c r="E48" i="16" a="1"/>
  <c r="E48" i="16" s="1"/>
  <c r="E35" i="16" a="1"/>
  <c r="E35" i="16" s="1"/>
  <c r="E27" i="16" a="1"/>
  <c r="E27" i="16" s="1"/>
  <c r="E18" i="16" a="1"/>
  <c r="E18" i="16" s="1"/>
  <c r="E10" i="16" a="1"/>
  <c r="E10" i="16" s="1"/>
  <c r="E108" i="16" a="1"/>
  <c r="E108" i="16" s="1"/>
  <c r="E100" i="16" a="1"/>
  <c r="E100" i="16" s="1"/>
  <c r="E88" i="16" a="1"/>
  <c r="E88" i="16" s="1"/>
  <c r="E80" i="16" a="1"/>
  <c r="E80" i="16" s="1"/>
  <c r="E71" i="16" a="1"/>
  <c r="E71" i="16" s="1"/>
  <c r="E63" i="16" a="1"/>
  <c r="E63" i="16" s="1"/>
  <c r="E34" i="16" a="1"/>
  <c r="E34" i="16" s="1"/>
  <c r="E107" i="16" a="1"/>
  <c r="E107" i="16" s="1"/>
  <c r="E54" i="16" a="1"/>
  <c r="E54" i="16" s="1"/>
  <c r="E8" i="16" a="1"/>
  <c r="E8" i="16" s="1"/>
  <c r="E77" i="16" a="1"/>
  <c r="E77" i="16" s="1"/>
  <c r="AA2" i="16"/>
  <c r="F114" i="16" a="1"/>
  <c r="F63" i="16" a="1"/>
  <c r="F114" i="16" l="1"/>
  <c r="G114" i="16" s="1"/>
  <c r="F63" i="16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78" i="16" a="1"/>
  <c r="F76" i="16" a="1"/>
  <c r="F49" i="16" a="1"/>
  <c r="F45" i="16" a="1"/>
  <c r="F14" i="16" a="1"/>
  <c r="F26" i="16" a="1"/>
  <c r="F71" i="16" a="1"/>
  <c r="F47" i="16" a="1"/>
  <c r="F16" i="16" a="1"/>
  <c r="F27" i="16" a="1"/>
  <c r="F91" i="16" a="1"/>
  <c r="F48" i="16" a="1"/>
  <c r="F8" i="16" a="1"/>
  <c r="F55" i="16" a="1"/>
  <c r="F67" i="16" a="1"/>
  <c r="F30" i="16" a="1"/>
  <c r="F9" i="16" a="1"/>
  <c r="F68" i="16" a="1"/>
  <c r="F50" i="16" a="1"/>
  <c r="F83" i="16" a="1"/>
  <c r="F38" i="16" a="1"/>
  <c r="F86" i="16" a="1"/>
  <c r="F28" i="16" a="1"/>
  <c r="F57" i="16" a="1"/>
  <c r="F60" i="16" a="1"/>
  <c r="F98" i="16" a="1"/>
  <c r="F7" i="16" a="1"/>
  <c r="F66" i="16" a="1"/>
  <c r="F80" i="16" a="1"/>
  <c r="F15" i="16" a="1"/>
  <c r="F59" i="16" a="1"/>
  <c r="F61" i="16" a="1"/>
  <c r="F72" i="16" a="1"/>
  <c r="F56" i="16" a="1"/>
  <c r="F92" i="16" a="1"/>
  <c r="F31" i="16" a="1"/>
  <c r="F87" i="16" a="1"/>
  <c r="F62" i="16" a="1"/>
  <c r="F46" i="16" a="1"/>
  <c r="F29" i="16" a="1"/>
  <c r="F39" i="16" a="1"/>
  <c r="F88" i="16" a="1"/>
  <c r="F85" i="16" a="1"/>
  <c r="F54" i="16" a="1"/>
  <c r="F74" i="16" a="1"/>
  <c r="F96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A159" i="15" l="1"/>
  <c r="A168" i="15"/>
  <c r="A159" i="14"/>
  <c r="A168" i="14"/>
  <c r="A159" i="13"/>
  <c r="A168" i="13"/>
  <c r="G57" i="16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A168" i="2" s="1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6A3391C2-A4EE-4E93-B1A9-F3DE6FEC896A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B3653D15-22EF-405A-84C7-2D398CE43943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<sst xmlns="http://schemas.openxmlformats.org/spreadsheetml/2006/main" count="2019" uniqueCount="416">
  <si>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</si>
  <si>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</si>
  <si>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</si>
  <si>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</si>
  <si>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</si>
  <si>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</si>
  <si>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</si>
  <si>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</si>
  <si>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</si>
  <si>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</si>
  <si>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</si>
  <si>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</si>
  <si>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</si>
  <si>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</si>
  <si>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</si>
  <si>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</si>
  <si>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</si>
  <si>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</si>
  <si>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</si>
  <si>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</si>
  <si>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</si>
  <si>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</si>
  <si>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</si>
  <si>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</si>
  <si>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</si>
  <si>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</si>
  <si>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</si>
  <si>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</si>
  <si>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</si>
  <si>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</si>
  <si>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</si>
  <si>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</si>
  <si>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</si>
  <si>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</si>
  <si>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</si>
  <si>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</si>
  <si>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</si>
  <si>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</si>
  <si>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</si>
  <si>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</si>
  <si>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</si>
  <si>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</si>
  <si>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</si>
  <si>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</si>
  <si>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</si>
  <si>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</si>
  <si>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</si>
  <si>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</si>
  <si>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</si>
  <si>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</si>
  <si>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</si>
  <si>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</si>
  <si>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</si>
  <si>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</si>
  <si>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</si>
  <si>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</si>
  <si>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</si>
  <si>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</si>
  <si>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</si>
  <si>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</si>
  <si>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</si>
  <si>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</si>
  <si>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</si>
  <si>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</si>
  <si>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</si>
  <si>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</si>
  <si>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</si>
  <si>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</si>
  <si>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</si>
  <si>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</si>
  <si>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</si>
  <si>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</si>
  <si>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</si>
  <si>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</si>
  <si>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</si>
  <si>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</si>
  <si>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</si>
  <si>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</si>
  <si>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</si>
  <si>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</si>
  <si>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</si>
  <si>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</si>
  <si>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</si>
  <si>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</si>
  <si>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</si>
  <si>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</si>
  <si>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</si>
  <si>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</si>
  <si>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</si>
  <si>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</si>
  <si>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</si>
  <si>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</si>
  <si>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</si>
  <si>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</si>
  <si>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</si>
  <si>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</si>
  <si>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</si>
  <si>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</si>
  <si>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</si>
  <si>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</si>
  <si>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</si>
  <si>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</si>
  <si>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</si>
  <si>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</si>
  <si>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</si>
  <si>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</si>
  <si>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</si>
  <si>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</si>
  <si>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</si>
  <si>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</si>
  <si>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</si>
  <si>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</si>
  <si>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</si>
  <si>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</si>
  <si>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</si>
  <si>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</si>
  <si>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</si>
  <si>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</si>
  <si>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</si>
  <si>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</si>
  <si>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</si>
  <si>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</si>
  <si>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</si>
  <si>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</si>
  <si>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</si>
  <si>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</si>
  <si>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</si>
  <si>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</si>
  <si>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</si>
  <si>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</si>
  <si>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</si>
  <si>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</si>
  <si>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</si>
  <si>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</si>
  <si>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</si>
  <si>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</si>
  <si>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</si>
  <si>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</si>
  <si>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</si>
  <si>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</si>
  <si>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</si>
  <si>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</si>
  <si>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</si>
  <si>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</si>
  <si>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</si>
  <si>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</si>
  <si>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</si>
  <si>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</si>
  <si>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</si>
  <si>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</si>
  <si>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</si>
  <si>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</si>
  <si>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</si>
  <si>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</si>
  <si>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</si>
  <si>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</si>
  <si>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</si>
  <si>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</si>
  <si>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</si>
  <si>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</si>
  <si>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</si>
  <si>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</si>
  <si>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</si>
  <si>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</si>
  <si>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</si>
  <si>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</si>
  <si>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</si>
  <si>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</si>
  <si>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</si>
  <si>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</si>
  <si>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</si>
  <si>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</si>
  <si>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</si>
  <si>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</si>
  <si>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</si>
  <si>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</si>
  <si>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</si>
  <si>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</si>
  <si>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</si>
  <si>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</si>
  <si>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</si>
  <si>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</si>
  <si>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</si>
  <si>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</si>
  <si>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</si>
  <si>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</si>
  <si>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</si>
  <si>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</si>
  <si>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</si>
  <si>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</si>
  <si>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</si>
  <si>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</si>
  <si>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</si>
  <si>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</si>
  <si>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</si>
  <si>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</si>
  <si>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</si>
  <si>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</si>
  <si>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</si>
  <si>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</si>
  <si>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</si>
  <si>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</si>
  <si>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</si>
  <si>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</si>
  <si>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</si>
  <si>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</si>
  <si>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</si>
  <si>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</si>
  <si>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</si>
  <si>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</si>
  <si>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</si>
  <si>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</si>
  <si>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</si>
  <si>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</si>
  <si>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</si>
  <si>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</si>
  <si>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</si>
  <si>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</si>
  <si>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</si>
  <si>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</si>
  <si>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</si>
  <si>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</si>
  <si>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</si>
  <si>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</si>
  <si>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</si>
  <si>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</si>
  <si>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</si>
  <si>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</si>
  <si>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</si>
  <si>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</si>
  <si>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</si>
  <si>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</si>
  <si>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</si>
  <si>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</si>
  <si>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</si>
  <si>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</si>
  <si>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</si>
  <si>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</si>
  <si>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</si>
  <si>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</si>
  <si>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</si>
  <si>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</si>
  <si>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</si>
  <si>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</si>
  <si>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</si>
  <si>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</si>
  <si>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</si>
  <si>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</si>
  <si>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</si>
  <si>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</si>
  <si>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</si>
  <si>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</si>
  <si>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</si>
  <si>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</si>
  <si>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</si>
  <si>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</si>
  <si>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</si>
  <si>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</si>
  <si>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</si>
  <si>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</si>
  <si>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</si>
  <si>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</si>
  <si>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</si>
  <si>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</si>
  <si>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</si>
  <si>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</si>
  <si>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</si>
  <si>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</si>
  <si>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</si>
  <si>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</si>
  <si>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</si>
  <si>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</si>
  <si>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</si>
  <si>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</si>
  <si>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</si>
  <si>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</si>
  <si>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</si>
  <si>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</si>
  <si>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</si>
  <si>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</si>
  <si>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</si>
  <si>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</si>
  <si>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</si>
  <si>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</si>
  <si>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</si>
  <si>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</si>
  <si>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</si>
  <si>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</si>
  <si>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</si>
  <si>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</si>
  <si>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</si>
  <si>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</si>
  <si>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</si>
  <si>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</si>
  <si>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</si>
  <si>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</si>
  <si>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</si>
  <si>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</si>
  <si>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</si>
  <si>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</si>
  <si>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</si>
  <si>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</si>
  <si>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</si>
  <si>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</si>
  <si>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</si>
  <si>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</si>
  <si>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</si>
  <si>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</si>
  <si>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</si>
  <si>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</si>
  <si>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</si>
  <si>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</si>
  <si>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</si>
  <si>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</si>
  <si>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</si>
  <si>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</si>
  <si>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</si>
  <si>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</si>
  <si>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</si>
  <si>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</si>
  <si>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</si>
  <si>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</si>
  <si>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</si>
  <si>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</si>
  <si>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</si>
  <si>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</si>
  <si>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</si>
  <si>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</si>
  <si>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</si>
  <si>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</si>
  <si>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</si>
  <si>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</si>
  <si>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</si>
  <si>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</si>
  <si>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</si>
  <si>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</si>
  <si>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</si>
  <si>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</si>
  <si>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</si>
  <si>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</si>
  <si>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</si>
  <si>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</si>
  <si>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</si>
  <si>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</si>
  <si>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</si>
  <si>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</si>
  <si>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</si>
  <si>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</si>
  <si>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</si>
  <si>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</si>
  <si>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</si>
  <si>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</si>
  <si>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</si>
  <si>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</si>
  <si>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</si>
  <si>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</si>
  <si>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</si>
  <si>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</si>
  <si>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</si>
  <si>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</si>
  <si>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</si>
  <si>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</si>
  <si>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</si>
  <si>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</si>
  <si>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</si>
  <si>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</si>
  <si>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</si>
  <si>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</si>
  <si>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</si>
  <si>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</si>
  <si>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</si>
  <si>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</si>
  <si>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</si>
  <si>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</si>
  <si>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</si>
  <si>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</si>
  <si>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</si>
  <si>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</si>
  <si>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</si>
  <si>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</si>
  <si>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</si>
  <si>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</si>
  <si>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</si>
  <si>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</si>
  <si>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</si>
  <si>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</si>
  <si>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</si>
  <si>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</si>
  <si>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</si>
  <si>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</si>
  <si>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</si>
  <si>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</si>
  <si>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</si>
  <si>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</si>
  <si>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</si>
  <si>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</si>
  <si>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</si>
  <si>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</si>
  <si>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</si>
  <si>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</si>
  <si>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</si>
  <si>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</si>
  <si>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</si>
  <si>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</si>
  <si>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</si>
  <si>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</si>
  <si>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</si>
  <si>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</si>
  <si>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</si>
  <si>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</si>
  <si>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M48</t>
  </si>
  <si>
    <t>Inclination used: 0.00deg</t>
  </si>
  <si>
    <t>Design value capped to 90% Fp,C*: Yes</t>
  </si>
  <si>
    <t>Fatigue</t>
  </si>
  <si>
    <t>Cumulated damage:</t>
  </si>
  <si>
    <t>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</si>
</sst>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0" fontId="1" fillId="0" borderId="0"/>
    <xf numFmtId="9" fontId="6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9" fontId="4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9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4" fillId="0" borderId="0" xfId="7" applyFont="1" applyAlignment="1">
      <alignment horizontal="right"/>
    </xf>
    <xf numFmtId="0" fontId="57" fillId="0" borderId="0" xfId="7" applyFont="1" applyAlignment="1">
      <alignment horizontal="center"/>
    </xf>
    <xf numFmtId="0" fontId="60" fillId="5" borderId="0" xfId="7" applyFont="1" applyFill="1" applyAlignment="1">
      <alignment horizontal="center"/>
    </xf>
    <xf numFmtId="0" fontId="60" fillId="5" borderId="0" xfId="7" applyFont="1" applyFill="1"/>
    <xf numFmtId="0" fontId="61" fillId="0" borderId="29" xfId="7" applyFont="1" applyBorder="1" applyAlignment="1">
      <alignment horizontal="center" vertical="top" wrapText="1"/>
    </xf>
    <xf numFmtId="0" fontId="61" fillId="0" borderId="0" xfId="7" applyFont="1" applyAlignment="1">
      <alignment horizontal="center" vertical="top" wrapText="1"/>
    </xf>
    <xf numFmtId="0" fontId="60" fillId="0" borderId="0" xfId="7" applyFont="1" applyAlignment="1">
      <alignment horizontal="center"/>
    </xf>
    <xf numFmtId="0" fontId="60" fillId="0" borderId="0" xfId="7" applyFont="1"/>
    <xf numFmtId="0" fontId="57" fillId="0" borderId="0" xfId="7" applyFont="1" applyAlignment="1">
      <alignment horizontal="right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  <xf numFmtId="0" fontId="13" fillId="3" borderId="1" xfId="2" applyFont="1" applyFill="1" applyBorder="1" applyAlignment="1">
      <alignment horizontal="left" vertical="center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13" fillId="3" borderId="1" xfId="2" quotePrefix="1" applyFont="1" applyFill="1" applyBorder="1" applyAlignment="1">
      <alignment horizontal="left" vertical="center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  <xf numFmtId="165" fontId="11" fillId="3" borderId="2" xfId="1" applyNumberFormat="1" applyFont="1" applyFill="1" applyBorder="1" applyAlignment="1">
      <alignment horizontal="center" vertical="center"/>
    </xf>
  </cellXfs>
  <cellStyles count="32">
    <cellStyle name="Normal" xfId="0" builtinId="0"/>
    <cellStyle name="Normal 2" xfId="1" xr:uid="{441ACF27-160B-4F68-B601-75E0F5333046}"/>
    <cellStyle name="Normal 2 2" xfId="29" xr:uid="{7B909C37-C3E8-4D12-9018-3949052DB9DB}"/>
    <cellStyle name="Normal 2 3" xfId="17" xr:uid="{45267480-42F3-48EF-B969-FD40A59F86E3}"/>
    <cellStyle name="Normal 3" xfId="2" xr:uid="{E743A38D-16A7-497B-BF78-6D533003511F}"/>
    <cellStyle name="Normal 3 2" xfId="26" xr:uid="{91A740EC-B302-4EB8-AD0A-7BF93D4EC525}"/>
    <cellStyle name="Normal 3 3" xfId="10" xr:uid="{F39442B7-07FE-43B3-97AF-99510A16FAC1}"/>
    <cellStyle name="Normal 4" xfId="14" xr:uid="{7E0FD0E8-113E-4CC6-84C1-E1FBBD321614}"/>
    <cellStyle name="Normal 5" xfId="11" xr:uid="{262DA40D-FBAF-48F0-916E-A8A18684DDA5}"/>
    <cellStyle name="Normal 5 2" xfId="27" xr:uid="{A76D729C-F857-4640-BC72-BC3FD411C2D5}"/>
    <cellStyle name="Normal 6" xfId="20" xr:uid="{C7CDC13D-C1E4-4C96-87E0-82A966C294A1}"/>
    <cellStyle name="Per cent" xfId="3" builtinId="5"/>
    <cellStyle name="Percent 2" xfId="16" xr:uid="{C661F18E-5820-4FD9-A82C-C0A8232B5EA7}"/>
    <cellStyle name="Prozent 2" xfId="9" xr:uid="{871C8038-A593-4E49-8228-65E9EB954D17}"/>
    <cellStyle name="Prozent 2 2" xfId="25" xr:uid="{1E0AEA70-C52E-429A-85A0-5960C88A79DD}"/>
    <cellStyle name="Prozent 3" xfId="13" xr:uid="{E11DB7F9-452E-48C8-A6A0-313FC15F60A9}"/>
    <cellStyle name="Prozent 4" xfId="23" xr:uid="{A678274D-26DD-47F2-B5FE-BBC6DD619079}"/>
    <cellStyle name="Standard 2" xfId="4" xr:uid="{8EDAC5BA-93D2-4133-8B1C-A233865E32C9}"/>
    <cellStyle name="Standard 2 2" xfId="5" xr:uid="{F03A5C3A-BFB2-4DCC-BC18-6D8CB2B8C217}"/>
    <cellStyle name="Standard 2 2 2" xfId="28" xr:uid="{E184BBC9-36CE-4D37-8759-85D3FAECBF4D}"/>
    <cellStyle name="Standard 2 2 3" xfId="15" xr:uid="{A38F4459-AD78-4C13-8677-B477568D2803}"/>
    <cellStyle name="Standard 2 3" xfId="6" xr:uid="{20FFBE33-F8FD-4507-8E20-ABED1704E16F}"/>
    <cellStyle name="Standard 2 3 2" xfId="24" xr:uid="{BC01D242-EE07-49C0-8974-50D376B3AC76}"/>
    <cellStyle name="Standard 2 4" xfId="7" xr:uid="{FCF78B35-E131-4938-8162-5BA9D3DAD533}"/>
    <cellStyle name="Standard 2 5" xfId="8" xr:uid="{13F49AA7-D352-4908-A313-FB540D0AE48B}"/>
    <cellStyle name="Standard 3" xfId="12" xr:uid="{0FE78CD9-B741-4663-A2A0-55F06E6C11CC}"/>
    <cellStyle name="Standard 3 2" xfId="18" xr:uid="{EA35FDC7-0F7D-4551-9BC0-64C867FC5533}"/>
    <cellStyle name="Standard 3 2 2" xfId="30" xr:uid="{312B0770-F8DA-4F5E-9BA2-07F7E18D3D54}"/>
    <cellStyle name="Standard 4" xfId="19" xr:uid="{D49F4F78-715B-47EB-9214-41594747ACE1}"/>
    <cellStyle name="Standard 4 2" xfId="31" xr:uid="{2759F928-C869-4607-998D-AA40A39A1B38}"/>
    <cellStyle name="Standard 5" xfId="21" xr:uid="{1FF9B1AA-B2DF-48C0-8E34-616BD6B6E94E}"/>
    <cellStyle name="Standard 6" xfId="22" xr:uid="{89D0DB1A-94A2-40B8-AB5A-43E64C1F178C}"/>
  </cellStyles>
  <dxfs count="29"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-294.50226876689396</c:v>
                </c:pt>
                <c:pt idx="1">
                  <c:v>-285.13350776165004</c:v>
                </c:pt>
                <c:pt idx="2">
                  <c:v>-275.76474675640611</c:v>
                </c:pt>
                <c:pt idx="3">
                  <c:v>-266.39598575116219</c:v>
                </c:pt>
                <c:pt idx="4">
                  <c:v>-257.02722474591826</c:v>
                </c:pt>
                <c:pt idx="5">
                  <c:v>-247.65846374067434</c:v>
                </c:pt>
                <c:pt idx="6">
                  <c:v>-238.28970273543041</c:v>
                </c:pt>
                <c:pt idx="7">
                  <c:v>-228.92094173018651</c:v>
                </c:pt>
                <c:pt idx="8">
                  <c:v>-219.55218072494259</c:v>
                </c:pt>
                <c:pt idx="9">
                  <c:v>-210.18341971969866</c:v>
                </c:pt>
                <c:pt idx="10">
                  <c:v>-200.81465871445474</c:v>
                </c:pt>
                <c:pt idx="11">
                  <c:v>-191.44589770921081</c:v>
                </c:pt>
                <c:pt idx="12">
                  <c:v>-182.07713670396689</c:v>
                </c:pt>
                <c:pt idx="13">
                  <c:v>-172.70837569872296</c:v>
                </c:pt>
                <c:pt idx="14">
                  <c:v>-163.33961469347906</c:v>
                </c:pt>
                <c:pt idx="15">
                  <c:v>-153.97085368823514</c:v>
                </c:pt>
                <c:pt idx="16">
                  <c:v>-144.60209268299121</c:v>
                </c:pt>
                <c:pt idx="17">
                  <c:v>-135.23333167774729</c:v>
                </c:pt>
                <c:pt idx="18">
                  <c:v>-125.86457067250335</c:v>
                </c:pt>
                <c:pt idx="19">
                  <c:v>-116.49580966725945</c:v>
                </c:pt>
                <c:pt idx="20">
                  <c:v>-107.12704866201553</c:v>
                </c:pt>
                <c:pt idx="21">
                  <c:v>-97.7582876567716</c:v>
                </c:pt>
                <c:pt idx="22">
                  <c:v>-88.389526651527675</c:v>
                </c:pt>
                <c:pt idx="23">
                  <c:v>-79.020765646283749</c:v>
                </c:pt>
                <c:pt idx="24">
                  <c:v>-69.652004641039824</c:v>
                </c:pt>
                <c:pt idx="25">
                  <c:v>-60.283243635795927</c:v>
                </c:pt>
                <c:pt idx="26">
                  <c:v>-50.914482630551994</c:v>
                </c:pt>
                <c:pt idx="27">
                  <c:v>-41.545721625308069</c:v>
                </c:pt>
                <c:pt idx="28">
                  <c:v>-32.176960620064172</c:v>
                </c:pt>
                <c:pt idx="29">
                  <c:v>-22.808199614820246</c:v>
                </c:pt>
                <c:pt idx="30">
                  <c:v>-13.439438609576319</c:v>
                </c:pt>
                <c:pt idx="31">
                  <c:v>-4.070677604332392</c:v>
                </c:pt>
                <c:pt idx="32">
                  <c:v>5.2980834009115352</c:v>
                </c:pt>
                <c:pt idx="33">
                  <c:v>14.666844406155462</c:v>
                </c:pt>
                <c:pt idx="34">
                  <c:v>24.035605411399388</c:v>
                </c:pt>
                <c:pt idx="35">
                  <c:v>33.404366416643313</c:v>
                </c:pt>
                <c:pt idx="36">
                  <c:v>42.773127421887246</c:v>
                </c:pt>
                <c:pt idx="37">
                  <c:v>52.141888427131171</c:v>
                </c:pt>
                <c:pt idx="38">
                  <c:v>61.51064943237504</c:v>
                </c:pt>
                <c:pt idx="39">
                  <c:v>70.879410437618958</c:v>
                </c:pt>
                <c:pt idx="40">
                  <c:v>80.248171442862898</c:v>
                </c:pt>
                <c:pt idx="41">
                  <c:v>89.616932448106823</c:v>
                </c:pt>
                <c:pt idx="42">
                  <c:v>98.985693453350748</c:v>
                </c:pt>
                <c:pt idx="43">
                  <c:v>108.35445445859467</c:v>
                </c:pt>
                <c:pt idx="44">
                  <c:v>117.7232154638386</c:v>
                </c:pt>
                <c:pt idx="45">
                  <c:v>127.09197646908252</c:v>
                </c:pt>
                <c:pt idx="46">
                  <c:v>136.46073747432646</c:v>
                </c:pt>
                <c:pt idx="47">
                  <c:v>145.82949847957039</c:v>
                </c:pt>
                <c:pt idx="48">
                  <c:v>155.19825948481432</c:v>
                </c:pt>
                <c:pt idx="49">
                  <c:v>164.56702049005818</c:v>
                </c:pt>
                <c:pt idx="50">
                  <c:v>173.93578149530211</c:v>
                </c:pt>
                <c:pt idx="51">
                  <c:v>183.30454250054603</c:v>
                </c:pt>
                <c:pt idx="52">
                  <c:v>192.67330350578996</c:v>
                </c:pt>
                <c:pt idx="53">
                  <c:v>202.04206451103389</c:v>
                </c:pt>
                <c:pt idx="54">
                  <c:v>211.41082551627781</c:v>
                </c:pt>
                <c:pt idx="55">
                  <c:v>220.77958652152174</c:v>
                </c:pt>
                <c:pt idx="56">
                  <c:v>230.1483475267656</c:v>
                </c:pt>
                <c:pt idx="57">
                  <c:v>239.51710853200959</c:v>
                </c:pt>
                <c:pt idx="58">
                  <c:v>248.88586953725346</c:v>
                </c:pt>
                <c:pt idx="59">
                  <c:v>258.25463054249747</c:v>
                </c:pt>
                <c:pt idx="60">
                  <c:v>267.62339154774133</c:v>
                </c:pt>
                <c:pt idx="61">
                  <c:v>276.99215255298532</c:v>
                </c:pt>
                <c:pt idx="62">
                  <c:v>286.36091355822919</c:v>
                </c:pt>
                <c:pt idx="63">
                  <c:v>295.72967456347317</c:v>
                </c:pt>
                <c:pt idx="64">
                  <c:v>305.09843556871704</c:v>
                </c:pt>
                <c:pt idx="65">
                  <c:v>314.4671965739609</c:v>
                </c:pt>
                <c:pt idx="66">
                  <c:v>323.83595757920489</c:v>
                </c:pt>
                <c:pt idx="67">
                  <c:v>333.20471858444876</c:v>
                </c:pt>
                <c:pt idx="68">
                  <c:v>342.57347958969274</c:v>
                </c:pt>
                <c:pt idx="69">
                  <c:v>351.94224059493661</c:v>
                </c:pt>
                <c:pt idx="70">
                  <c:v>361.31100160018059</c:v>
                </c:pt>
                <c:pt idx="71">
                  <c:v>370.67976260542446</c:v>
                </c:pt>
                <c:pt idx="72">
                  <c:v>380.04852361066844</c:v>
                </c:pt>
                <c:pt idx="73">
                  <c:v>389.41728461591231</c:v>
                </c:pt>
                <c:pt idx="74">
                  <c:v>398.78604562115629</c:v>
                </c:pt>
                <c:pt idx="75">
                  <c:v>408.15480662640016</c:v>
                </c:pt>
                <c:pt idx="76">
                  <c:v>417.52356763164403</c:v>
                </c:pt>
                <c:pt idx="77">
                  <c:v>426.89232863688801</c:v>
                </c:pt>
                <c:pt idx="78">
                  <c:v>436.26108964213188</c:v>
                </c:pt>
                <c:pt idx="79">
                  <c:v>445.62985064737586</c:v>
                </c:pt>
                <c:pt idx="80">
                  <c:v>454.99861165261973</c:v>
                </c:pt>
                <c:pt idx="81">
                  <c:v>464.36737265786371</c:v>
                </c:pt>
                <c:pt idx="82">
                  <c:v>473.73613366310758</c:v>
                </c:pt>
                <c:pt idx="83">
                  <c:v>483.10489466835156</c:v>
                </c:pt>
                <c:pt idx="84">
                  <c:v>492.47365567359543</c:v>
                </c:pt>
                <c:pt idx="85">
                  <c:v>501.84241667883941</c:v>
                </c:pt>
                <c:pt idx="86">
                  <c:v>511.21117768408328</c:v>
                </c:pt>
                <c:pt idx="87">
                  <c:v>520.57993868932715</c:v>
                </c:pt>
                <c:pt idx="88">
                  <c:v>529.94869969457113</c:v>
                </c:pt>
                <c:pt idx="89">
                  <c:v>539.31746069981511</c:v>
                </c:pt>
                <c:pt idx="90">
                  <c:v>548.6862217050591</c:v>
                </c:pt>
                <c:pt idx="91">
                  <c:v>558.05498271030285</c:v>
                </c:pt>
                <c:pt idx="92">
                  <c:v>567.42374371554683</c:v>
                </c:pt>
                <c:pt idx="93">
                  <c:v>576.79250472079082</c:v>
                </c:pt>
                <c:pt idx="94">
                  <c:v>586.1612657260348</c:v>
                </c:pt>
                <c:pt idx="95">
                  <c:v>595.53002673127855</c:v>
                </c:pt>
                <c:pt idx="96">
                  <c:v>604.89878773652254</c:v>
                </c:pt>
                <c:pt idx="97">
                  <c:v>614.26754874176652</c:v>
                </c:pt>
                <c:pt idx="98">
                  <c:v>623.63630974701027</c:v>
                </c:pt>
                <c:pt idx="99">
                  <c:v>633.00507075225426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-28.961319336724955</c:v>
                </c:pt>
                <c:pt idx="1">
                  <c:v>-28.961319336724955</c:v>
                </c:pt>
                <c:pt idx="2">
                  <c:v>-28.952242057573926</c:v>
                </c:pt>
                <c:pt idx="3">
                  <c:v>-28.880297769005409</c:v>
                </c:pt>
                <c:pt idx="4">
                  <c:v>-28.736632909625449</c:v>
                </c:pt>
                <c:pt idx="5">
                  <c:v>-28.521247479434052</c:v>
                </c:pt>
                <c:pt idx="6">
                  <c:v>-28.234141478431219</c:v>
                </c:pt>
                <c:pt idx="7">
                  <c:v>-27.875314906616957</c:v>
                </c:pt>
                <c:pt idx="8">
                  <c:v>-27.444767763991251</c:v>
                </c:pt>
                <c:pt idx="9">
                  <c:v>-26.942500050554109</c:v>
                </c:pt>
                <c:pt idx="10">
                  <c:v>-26.368511766305531</c:v>
                </c:pt>
                <c:pt idx="11">
                  <c:v>-25.722802911245513</c:v>
                </c:pt>
                <c:pt idx="12">
                  <c:v>-25.005373485374061</c:v>
                </c:pt>
                <c:pt idx="13">
                  <c:v>-24.21622348869117</c:v>
                </c:pt>
                <c:pt idx="14">
                  <c:v>-23.355352921196847</c:v>
                </c:pt>
                <c:pt idx="15">
                  <c:v>-22.422761782891083</c:v>
                </c:pt>
                <c:pt idx="16">
                  <c:v>-21.418450073773887</c:v>
                </c:pt>
                <c:pt idx="17">
                  <c:v>-20.34241779384525</c:v>
                </c:pt>
                <c:pt idx="18">
                  <c:v>-19.194664943105177</c:v>
                </c:pt>
                <c:pt idx="19">
                  <c:v>-17.975191521553672</c:v>
                </c:pt>
                <c:pt idx="20">
                  <c:v>-16.683997529190727</c:v>
                </c:pt>
                <c:pt idx="21">
                  <c:v>-15.321082966016345</c:v>
                </c:pt>
                <c:pt idx="22">
                  <c:v>-13.886447832030523</c:v>
                </c:pt>
                <c:pt idx="23">
                  <c:v>-12.380092127233267</c:v>
                </c:pt>
                <c:pt idx="24">
                  <c:v>-10.802015851624574</c:v>
                </c:pt>
                <c:pt idx="25">
                  <c:v>-9.152219005204449</c:v>
                </c:pt>
                <c:pt idx="26">
                  <c:v>-7.4307015879728819</c:v>
                </c:pt>
                <c:pt idx="27">
                  <c:v>-5.6374635999298786</c:v>
                </c:pt>
                <c:pt idx="28">
                  <c:v>-3.7725050410754464</c:v>
                </c:pt>
                <c:pt idx="29">
                  <c:v>-1.7960936454638863</c:v>
                </c:pt>
                <c:pt idx="30">
                  <c:v>0.37875575442714426</c:v>
                </c:pt>
                <c:pt idx="31">
                  <c:v>2.7551138213525332</c:v>
                </c:pt>
                <c:pt idx="32">
                  <c:v>5.3329805553122807</c:v>
                </c:pt>
                <c:pt idx="33">
                  <c:v>8.1123559563063861</c:v>
                </c:pt>
                <c:pt idx="34">
                  <c:v>11.09324002433485</c:v>
                </c:pt>
                <c:pt idx="35">
                  <c:v>14.275632759397672</c:v>
                </c:pt>
                <c:pt idx="36">
                  <c:v>17.65953416149485</c:v>
                </c:pt>
                <c:pt idx="37">
                  <c:v>21.244944230626388</c:v>
                </c:pt>
                <c:pt idx="38">
                  <c:v>25.031862966792261</c:v>
                </c:pt>
                <c:pt idx="39">
                  <c:v>29.020290369992512</c:v>
                </c:pt>
                <c:pt idx="40">
                  <c:v>33.210226440227125</c:v>
                </c:pt>
                <c:pt idx="41">
                  <c:v>37.601671177496094</c:v>
                </c:pt>
                <c:pt idx="42">
                  <c:v>42.194624581799417</c:v>
                </c:pt>
                <c:pt idx="43">
                  <c:v>46.9890866531371</c:v>
                </c:pt>
                <c:pt idx="44">
                  <c:v>51.985057391509145</c:v>
                </c:pt>
                <c:pt idx="45">
                  <c:v>57.182536796915549</c:v>
                </c:pt>
                <c:pt idx="46">
                  <c:v>62.581524869356308</c:v>
                </c:pt>
                <c:pt idx="47">
                  <c:v>68.182021608831434</c:v>
                </c:pt>
                <c:pt idx="48">
                  <c:v>73.984027015340899</c:v>
                </c:pt>
                <c:pt idx="49">
                  <c:v>79.987541088884697</c:v>
                </c:pt>
                <c:pt idx="50">
                  <c:v>86.192563829462898</c:v>
                </c:pt>
                <c:pt idx="51">
                  <c:v>92.599095237075446</c:v>
                </c:pt>
                <c:pt idx="52">
                  <c:v>99.207135311722354</c:v>
                </c:pt>
                <c:pt idx="53">
                  <c:v>106.01668405340361</c:v>
                </c:pt>
                <c:pt idx="54">
                  <c:v>113.02774146211924</c:v>
                </c:pt>
                <c:pt idx="55">
                  <c:v>120.24030753786923</c:v>
                </c:pt>
                <c:pt idx="56">
                  <c:v>127.65438228065351</c:v>
                </c:pt>
                <c:pt idx="57">
                  <c:v>135.26996569047225</c:v>
                </c:pt>
                <c:pt idx="58">
                  <c:v>143.08705776732526</c:v>
                </c:pt>
                <c:pt idx="59">
                  <c:v>151.10565851121271</c:v>
                </c:pt>
                <c:pt idx="60">
                  <c:v>159.32576792213445</c:v>
                </c:pt>
                <c:pt idx="61">
                  <c:v>167.74738600009061</c:v>
                </c:pt>
                <c:pt idx="62">
                  <c:v>176.37051274508104</c:v>
                </c:pt>
                <c:pt idx="63">
                  <c:v>185.19514815710596</c:v>
                </c:pt>
                <c:pt idx="64">
                  <c:v>194.22129223616511</c:v>
                </c:pt>
                <c:pt idx="65">
                  <c:v>203.44894498225861</c:v>
                </c:pt>
                <c:pt idx="66">
                  <c:v>212.8781063953866</c:v>
                </c:pt>
                <c:pt idx="67">
                  <c:v>222.50877647554881</c:v>
                </c:pt>
                <c:pt idx="68">
                  <c:v>232.34095522274549</c:v>
                </c:pt>
                <c:pt idx="69">
                  <c:v>242.3746426369764</c:v>
                </c:pt>
                <c:pt idx="70">
                  <c:v>252.6098387182418</c:v>
                </c:pt>
                <c:pt idx="71">
                  <c:v>263.04654346654144</c:v>
                </c:pt>
                <c:pt idx="72">
                  <c:v>273.68475688187556</c:v>
                </c:pt>
                <c:pt idx="73">
                  <c:v>284.52447896424394</c:v>
                </c:pt>
                <c:pt idx="74">
                  <c:v>295.56570971364681</c:v>
                </c:pt>
                <c:pt idx="75">
                  <c:v>306.80844913008389</c:v>
                </c:pt>
                <c:pt idx="76">
                  <c:v>318.25269721355528</c:v>
                </c:pt>
                <c:pt idx="77">
                  <c:v>329.89845396406122</c:v>
                </c:pt>
                <c:pt idx="78">
                  <c:v>341.74571938160136</c:v>
                </c:pt>
                <c:pt idx="79">
                  <c:v>353.79449346617599</c:v>
                </c:pt>
                <c:pt idx="80">
                  <c:v>366.04477621778489</c:v>
                </c:pt>
                <c:pt idx="81">
                  <c:v>378.49656763642821</c:v>
                </c:pt>
                <c:pt idx="82">
                  <c:v>391.14986772210574</c:v>
                </c:pt>
                <c:pt idx="83">
                  <c:v>404.00467647481787</c:v>
                </c:pt>
                <c:pt idx="84">
                  <c:v>417.06099389456415</c:v>
                </c:pt>
                <c:pt idx="85">
                  <c:v>430.31881998134492</c:v>
                </c:pt>
                <c:pt idx="86">
                  <c:v>443.77815473515994</c:v>
                </c:pt>
                <c:pt idx="87">
                  <c:v>457.43899815600929</c:v>
                </c:pt>
                <c:pt idx="88">
                  <c:v>471.30135024389307</c:v>
                </c:pt>
                <c:pt idx="89">
                  <c:v>485.36521099881134</c:v>
                </c:pt>
                <c:pt idx="90">
                  <c:v>499.63058042076392</c:v>
                </c:pt>
                <c:pt idx="91">
                  <c:v>514.0974585097506</c:v>
                </c:pt>
                <c:pt idx="92">
                  <c:v>528.76584526577187</c:v>
                </c:pt>
                <c:pt idx="93">
                  <c:v>543.63574068882758</c:v>
                </c:pt>
                <c:pt idx="94">
                  <c:v>558.7071447789175</c:v>
                </c:pt>
                <c:pt idx="95">
                  <c:v>573.98005753604161</c:v>
                </c:pt>
                <c:pt idx="96">
                  <c:v>589.45447896020028</c:v>
                </c:pt>
                <c:pt idx="97">
                  <c:v>605.13040905139349</c:v>
                </c:pt>
                <c:pt idx="98">
                  <c:v>621.00784780962044</c:v>
                </c:pt>
                <c:pt idx="99">
                  <c:v>637.08679523488229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-294.50226876689396</c:v>
                </c:pt>
                <c:pt idx="1">
                  <c:v>-285.13350776165004</c:v>
                </c:pt>
                <c:pt idx="2">
                  <c:v>-275.76474675640611</c:v>
                </c:pt>
                <c:pt idx="3">
                  <c:v>-266.39598575116219</c:v>
                </c:pt>
                <c:pt idx="4">
                  <c:v>-257.02722474591826</c:v>
                </c:pt>
                <c:pt idx="5">
                  <c:v>-247.65846374067434</c:v>
                </c:pt>
                <c:pt idx="6">
                  <c:v>-238.28970273543041</c:v>
                </c:pt>
                <c:pt idx="7">
                  <c:v>-228.92094173018651</c:v>
                </c:pt>
                <c:pt idx="8">
                  <c:v>-219.55218072494259</c:v>
                </c:pt>
                <c:pt idx="9">
                  <c:v>-210.18341971969866</c:v>
                </c:pt>
                <c:pt idx="10">
                  <c:v>-200.81465871445474</c:v>
                </c:pt>
                <c:pt idx="11">
                  <c:v>-191.44589770921081</c:v>
                </c:pt>
                <c:pt idx="12">
                  <c:v>-182.07713670396689</c:v>
                </c:pt>
                <c:pt idx="13">
                  <c:v>-172.70837569872296</c:v>
                </c:pt>
                <c:pt idx="14">
                  <c:v>-163.33961469347906</c:v>
                </c:pt>
                <c:pt idx="15">
                  <c:v>-153.97085368823514</c:v>
                </c:pt>
                <c:pt idx="16">
                  <c:v>-144.60209268299121</c:v>
                </c:pt>
                <c:pt idx="17">
                  <c:v>-135.23333167774729</c:v>
                </c:pt>
                <c:pt idx="18">
                  <c:v>-125.86457067250335</c:v>
                </c:pt>
                <c:pt idx="19">
                  <c:v>-116.49580966725945</c:v>
                </c:pt>
                <c:pt idx="20">
                  <c:v>-107.12704866201553</c:v>
                </c:pt>
                <c:pt idx="21">
                  <c:v>-97.7582876567716</c:v>
                </c:pt>
                <c:pt idx="22">
                  <c:v>-88.389526651527675</c:v>
                </c:pt>
                <c:pt idx="23">
                  <c:v>-79.020765646283749</c:v>
                </c:pt>
                <c:pt idx="24">
                  <c:v>-69.652004641039824</c:v>
                </c:pt>
                <c:pt idx="25">
                  <c:v>-60.283243635795927</c:v>
                </c:pt>
                <c:pt idx="26">
                  <c:v>-50.914482630551994</c:v>
                </c:pt>
                <c:pt idx="27">
                  <c:v>-41.545721625308069</c:v>
                </c:pt>
                <c:pt idx="28">
                  <c:v>-32.176960620064172</c:v>
                </c:pt>
                <c:pt idx="29">
                  <c:v>-22.808199614820246</c:v>
                </c:pt>
                <c:pt idx="30">
                  <c:v>-13.439438609576319</c:v>
                </c:pt>
                <c:pt idx="31">
                  <c:v>-4.070677604332392</c:v>
                </c:pt>
                <c:pt idx="32">
                  <c:v>5.2980834009115352</c:v>
                </c:pt>
                <c:pt idx="33">
                  <c:v>14.666844406155462</c:v>
                </c:pt>
                <c:pt idx="34">
                  <c:v>24.035605411399388</c:v>
                </c:pt>
                <c:pt idx="35">
                  <c:v>33.404366416643313</c:v>
                </c:pt>
                <c:pt idx="36">
                  <c:v>42.773127421887246</c:v>
                </c:pt>
                <c:pt idx="37">
                  <c:v>52.141888427131171</c:v>
                </c:pt>
                <c:pt idx="38">
                  <c:v>61.51064943237504</c:v>
                </c:pt>
                <c:pt idx="39">
                  <c:v>70.879410437618958</c:v>
                </c:pt>
                <c:pt idx="40">
                  <c:v>80.248171442862898</c:v>
                </c:pt>
                <c:pt idx="41">
                  <c:v>89.616932448106823</c:v>
                </c:pt>
                <c:pt idx="42">
                  <c:v>98.985693453350748</c:v>
                </c:pt>
                <c:pt idx="43">
                  <c:v>108.35445445859467</c:v>
                </c:pt>
                <c:pt idx="44">
                  <c:v>117.7232154638386</c:v>
                </c:pt>
                <c:pt idx="45">
                  <c:v>127.09197646908252</c:v>
                </c:pt>
                <c:pt idx="46">
                  <c:v>136.46073747432646</c:v>
                </c:pt>
                <c:pt idx="47">
                  <c:v>145.82949847957039</c:v>
                </c:pt>
                <c:pt idx="48">
                  <c:v>155.19825948481432</c:v>
                </c:pt>
                <c:pt idx="49">
                  <c:v>164.56702049005818</c:v>
                </c:pt>
                <c:pt idx="50">
                  <c:v>173.93578149530211</c:v>
                </c:pt>
                <c:pt idx="51">
                  <c:v>183.30454250054603</c:v>
                </c:pt>
                <c:pt idx="52">
                  <c:v>192.67330350578996</c:v>
                </c:pt>
                <c:pt idx="53">
                  <c:v>202.04206451103389</c:v>
                </c:pt>
                <c:pt idx="54">
                  <c:v>211.41082551627781</c:v>
                </c:pt>
                <c:pt idx="55">
                  <c:v>220.77958652152174</c:v>
                </c:pt>
                <c:pt idx="56">
                  <c:v>230.1483475267656</c:v>
                </c:pt>
                <c:pt idx="57">
                  <c:v>239.51710853200959</c:v>
                </c:pt>
                <c:pt idx="58">
                  <c:v>248.88586953725346</c:v>
                </c:pt>
                <c:pt idx="59">
                  <c:v>258.25463054249747</c:v>
                </c:pt>
                <c:pt idx="60">
                  <c:v>267.62339154774133</c:v>
                </c:pt>
                <c:pt idx="61">
                  <c:v>276.99215255298532</c:v>
                </c:pt>
                <c:pt idx="62">
                  <c:v>286.36091355822919</c:v>
                </c:pt>
                <c:pt idx="63">
                  <c:v>295.72967456347317</c:v>
                </c:pt>
                <c:pt idx="64">
                  <c:v>305.09843556871704</c:v>
                </c:pt>
                <c:pt idx="65">
                  <c:v>314.4671965739609</c:v>
                </c:pt>
                <c:pt idx="66">
                  <c:v>323.83595757920489</c:v>
                </c:pt>
                <c:pt idx="67">
                  <c:v>333.20471858444876</c:v>
                </c:pt>
                <c:pt idx="68">
                  <c:v>342.57347958969274</c:v>
                </c:pt>
                <c:pt idx="69">
                  <c:v>351.94224059493661</c:v>
                </c:pt>
                <c:pt idx="70">
                  <c:v>361.31100160018059</c:v>
                </c:pt>
                <c:pt idx="71">
                  <c:v>370.67976260542446</c:v>
                </c:pt>
                <c:pt idx="72">
                  <c:v>380.04852361066844</c:v>
                </c:pt>
                <c:pt idx="73">
                  <c:v>389.41728461591231</c:v>
                </c:pt>
                <c:pt idx="74">
                  <c:v>398.78604562115629</c:v>
                </c:pt>
                <c:pt idx="75">
                  <c:v>408.15480662640016</c:v>
                </c:pt>
                <c:pt idx="76">
                  <c:v>417.52356763164403</c:v>
                </c:pt>
                <c:pt idx="77">
                  <c:v>426.89232863688801</c:v>
                </c:pt>
                <c:pt idx="78">
                  <c:v>436.26108964213188</c:v>
                </c:pt>
                <c:pt idx="79">
                  <c:v>445.62985064737586</c:v>
                </c:pt>
                <c:pt idx="80">
                  <c:v>454.99861165261973</c:v>
                </c:pt>
                <c:pt idx="81">
                  <c:v>464.36737265786371</c:v>
                </c:pt>
                <c:pt idx="82">
                  <c:v>473.73613366310758</c:v>
                </c:pt>
                <c:pt idx="83">
                  <c:v>483.10489466835156</c:v>
                </c:pt>
                <c:pt idx="84">
                  <c:v>492.47365567359543</c:v>
                </c:pt>
                <c:pt idx="85">
                  <c:v>501.84241667883941</c:v>
                </c:pt>
                <c:pt idx="86">
                  <c:v>511.21117768408328</c:v>
                </c:pt>
                <c:pt idx="87">
                  <c:v>520.57993868932715</c:v>
                </c:pt>
                <c:pt idx="88">
                  <c:v>529.94869969457113</c:v>
                </c:pt>
                <c:pt idx="89">
                  <c:v>539.31746069981511</c:v>
                </c:pt>
                <c:pt idx="90">
                  <c:v>548.6862217050591</c:v>
                </c:pt>
                <c:pt idx="91">
                  <c:v>558.05498271030285</c:v>
                </c:pt>
                <c:pt idx="92">
                  <c:v>567.42374371554683</c:v>
                </c:pt>
                <c:pt idx="93">
                  <c:v>576.79250472079082</c:v>
                </c:pt>
                <c:pt idx="94">
                  <c:v>586.1612657260348</c:v>
                </c:pt>
                <c:pt idx="95">
                  <c:v>595.53002673127855</c:v>
                </c:pt>
                <c:pt idx="96">
                  <c:v>604.89878773652254</c:v>
                </c:pt>
                <c:pt idx="97">
                  <c:v>614.26754874176652</c:v>
                </c:pt>
                <c:pt idx="98">
                  <c:v>623.63630974701027</c:v>
                </c:pt>
                <c:pt idx="99">
                  <c:v>633.00507075225426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904.88778406708673</c:v>
                </c:pt>
                <c:pt idx="1">
                  <c:v>904.88778406708673</c:v>
                </c:pt>
                <c:pt idx="2">
                  <c:v>904.88959648028117</c:v>
                </c:pt>
                <c:pt idx="3">
                  <c:v>904.90396122280958</c:v>
                </c:pt>
                <c:pt idx="4">
                  <c:v>904.9326460393039</c:v>
                </c:pt>
                <c:pt idx="5">
                  <c:v>904.97565092976356</c:v>
                </c:pt>
                <c:pt idx="6">
                  <c:v>905.03297589418901</c:v>
                </c:pt>
                <c:pt idx="7">
                  <c:v>905.10462093258002</c:v>
                </c:pt>
                <c:pt idx="8">
                  <c:v>905.19058604493659</c:v>
                </c:pt>
                <c:pt idx="9">
                  <c:v>905.29087123125873</c:v>
                </c:pt>
                <c:pt idx="10">
                  <c:v>905.40547649154655</c:v>
                </c:pt>
                <c:pt idx="11">
                  <c:v>905.53440182580005</c:v>
                </c:pt>
                <c:pt idx="12">
                  <c:v>905.6776472340191</c:v>
                </c:pt>
                <c:pt idx="13">
                  <c:v>905.83521271620384</c:v>
                </c:pt>
                <c:pt idx="14">
                  <c:v>906.00709827235414</c:v>
                </c:pt>
                <c:pt idx="15">
                  <c:v>906.19330390247001</c:v>
                </c:pt>
                <c:pt idx="16">
                  <c:v>906.39382960655166</c:v>
                </c:pt>
                <c:pt idx="17">
                  <c:v>906.60867538459877</c:v>
                </c:pt>
                <c:pt idx="18">
                  <c:v>906.83784123661155</c:v>
                </c:pt>
                <c:pt idx="19">
                  <c:v>907.08132716259001</c:v>
                </c:pt>
                <c:pt idx="20">
                  <c:v>907.33913316253393</c:v>
                </c:pt>
                <c:pt idx="21">
                  <c:v>907.61125923644352</c:v>
                </c:pt>
                <c:pt idx="22">
                  <c:v>907.89770538431878</c:v>
                </c:pt>
                <c:pt idx="23">
                  <c:v>908.19847160615973</c:v>
                </c:pt>
                <c:pt idx="24">
                  <c:v>908.51355790196612</c:v>
                </c:pt>
                <c:pt idx="25">
                  <c:v>908.84296427173831</c:v>
                </c:pt>
                <c:pt idx="26">
                  <c:v>909.18669071547606</c:v>
                </c:pt>
                <c:pt idx="27">
                  <c:v>909.54473723317938</c:v>
                </c:pt>
                <c:pt idx="28">
                  <c:v>909.91710382484825</c:v>
                </c:pt>
                <c:pt idx="29">
                  <c:v>910.32645155840919</c:v>
                </c:pt>
                <c:pt idx="30">
                  <c:v>910.82239192072018</c:v>
                </c:pt>
                <c:pt idx="31">
                  <c:v>911.40667624651189</c:v>
                </c:pt>
                <c:pt idx="32">
                  <c:v>912.07930453578422</c:v>
                </c:pt>
                <c:pt idx="33">
                  <c:v>912.84027678853693</c:v>
                </c:pt>
                <c:pt idx="34">
                  <c:v>913.68959300477036</c:v>
                </c:pt>
                <c:pt idx="35">
                  <c:v>914.62725318448418</c:v>
                </c:pt>
                <c:pt idx="36">
                  <c:v>915.65325732767872</c:v>
                </c:pt>
                <c:pt idx="37">
                  <c:v>916.76760543435364</c:v>
                </c:pt>
                <c:pt idx="38">
                  <c:v>917.97029750450929</c:v>
                </c:pt>
                <c:pt idx="39">
                  <c:v>919.26133353814555</c:v>
                </c:pt>
                <c:pt idx="40">
                  <c:v>920.64071353526219</c:v>
                </c:pt>
                <c:pt idx="41">
                  <c:v>922.10843749585945</c:v>
                </c:pt>
                <c:pt idx="42">
                  <c:v>923.66450541993731</c:v>
                </c:pt>
                <c:pt idx="43">
                  <c:v>925.30891730749568</c:v>
                </c:pt>
                <c:pt idx="44">
                  <c:v>927.04167315853465</c:v>
                </c:pt>
                <c:pt idx="45">
                  <c:v>928.86277297305423</c:v>
                </c:pt>
                <c:pt idx="46">
                  <c:v>930.77221675105432</c:v>
                </c:pt>
                <c:pt idx="47">
                  <c:v>932.77000449253489</c:v>
                </c:pt>
                <c:pt idx="48">
                  <c:v>934.85613619749608</c:v>
                </c:pt>
                <c:pt idx="49">
                  <c:v>937.03061186593777</c:v>
                </c:pt>
                <c:pt idx="50">
                  <c:v>939.29343149786018</c:v>
                </c:pt>
                <c:pt idx="51">
                  <c:v>941.64459509326309</c:v>
                </c:pt>
                <c:pt idx="52">
                  <c:v>944.0841026521465</c:v>
                </c:pt>
                <c:pt idx="53">
                  <c:v>946.61195417451052</c:v>
                </c:pt>
                <c:pt idx="54">
                  <c:v>949.22814966035503</c:v>
                </c:pt>
                <c:pt idx="55">
                  <c:v>951.93268910968027</c:v>
                </c:pt>
                <c:pt idx="56">
                  <c:v>954.72557252248589</c:v>
                </c:pt>
                <c:pt idx="57">
                  <c:v>957.60679989877212</c:v>
                </c:pt>
                <c:pt idx="58">
                  <c:v>960.57637123853885</c:v>
                </c:pt>
                <c:pt idx="59">
                  <c:v>963.63428654178631</c:v>
                </c:pt>
                <c:pt idx="60">
                  <c:v>966.78054580851426</c:v>
                </c:pt>
                <c:pt idx="61">
                  <c:v>970.01514903872271</c:v>
                </c:pt>
                <c:pt idx="62">
                  <c:v>973.33809623241166</c:v>
                </c:pt>
                <c:pt idx="63">
                  <c:v>976.74938738958144</c:v>
                </c:pt>
                <c:pt idx="64">
                  <c:v>980.2490225102315</c:v>
                </c:pt>
                <c:pt idx="65">
                  <c:v>983.83700159436216</c:v>
                </c:pt>
                <c:pt idx="66">
                  <c:v>987.51332464197344</c:v>
                </c:pt>
                <c:pt idx="67">
                  <c:v>991.27799165306533</c:v>
                </c:pt>
                <c:pt idx="68">
                  <c:v>995.13100262763783</c:v>
                </c:pt>
                <c:pt idx="69">
                  <c:v>999.07235756569071</c:v>
                </c:pt>
                <c:pt idx="70">
                  <c:v>1003.1020564672243</c:v>
                </c:pt>
                <c:pt idx="71">
                  <c:v>1007.2200993322383</c:v>
                </c:pt>
                <c:pt idx="72">
                  <c:v>1011.426486160733</c:v>
                </c:pt>
                <c:pt idx="73">
                  <c:v>1015.7212169527082</c:v>
                </c:pt>
                <c:pt idx="74">
                  <c:v>1020.1042917081641</c:v>
                </c:pt>
                <c:pt idx="75">
                  <c:v>1024.5757104271004</c:v>
                </c:pt>
                <c:pt idx="76">
                  <c:v>1029.1354731095171</c:v>
                </c:pt>
                <c:pt idx="77">
                  <c:v>1033.7835797554146</c:v>
                </c:pt>
                <c:pt idx="78">
                  <c:v>1038.5200303647925</c:v>
                </c:pt>
                <c:pt idx="79">
                  <c:v>1043.3448249376511</c:v>
                </c:pt>
                <c:pt idx="80">
                  <c:v>1048.2579634739902</c:v>
                </c:pt>
                <c:pt idx="81">
                  <c:v>1053.25944597381</c:v>
                </c:pt>
                <c:pt idx="82">
                  <c:v>1058.3492724371104</c:v>
                </c:pt>
                <c:pt idx="83">
                  <c:v>1063.5274428638911</c:v>
                </c:pt>
                <c:pt idx="84">
                  <c:v>1068.7939572541525</c:v>
                </c:pt>
                <c:pt idx="85">
                  <c:v>1074.1488156078944</c:v>
                </c:pt>
                <c:pt idx="86">
                  <c:v>1079.592017925117</c:v>
                </c:pt>
                <c:pt idx="87">
                  <c:v>1085.12356420582</c:v>
                </c:pt>
                <c:pt idx="88">
                  <c:v>1090.7434544500036</c:v>
                </c:pt>
                <c:pt idx="89">
                  <c:v>1096.4516886576678</c:v>
                </c:pt>
                <c:pt idx="90">
                  <c:v>1102.2482668288123</c:v>
                </c:pt>
                <c:pt idx="91">
                  <c:v>1108.1331889634378</c:v>
                </c:pt>
                <c:pt idx="92">
                  <c:v>1114.1064550615436</c:v>
                </c:pt>
                <c:pt idx="93">
                  <c:v>1120.1680651231302</c:v>
                </c:pt>
                <c:pt idx="94">
                  <c:v>1126.318019148197</c:v>
                </c:pt>
                <c:pt idx="95">
                  <c:v>1132.5563171367446</c:v>
                </c:pt>
                <c:pt idx="96">
                  <c:v>1138.8829590887726</c:v>
                </c:pt>
                <c:pt idx="97">
                  <c:v>1145.2979450042812</c:v>
                </c:pt>
                <c:pt idx="98">
                  <c:v>1151.8012748832703</c:v>
                </c:pt>
                <c:pt idx="99">
                  <c:v>1158.3929487257401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-203.20472760369486</c:v>
                </c:pt>
                <c:pt idx="1">
                  <c:v>-194.50730794745678</c:v>
                </c:pt>
                <c:pt idx="2">
                  <c:v>-185.80988829121867</c:v>
                </c:pt>
                <c:pt idx="3">
                  <c:v>-177.11246863498059</c:v>
                </c:pt>
                <c:pt idx="4">
                  <c:v>-168.4150489787425</c:v>
                </c:pt>
                <c:pt idx="5">
                  <c:v>-159.71762932250442</c:v>
                </c:pt>
                <c:pt idx="6">
                  <c:v>-151.02020966626634</c:v>
                </c:pt>
                <c:pt idx="7">
                  <c:v>-142.32279001002823</c:v>
                </c:pt>
                <c:pt idx="8">
                  <c:v>-133.62537035379015</c:v>
                </c:pt>
                <c:pt idx="9">
                  <c:v>-124.92795069755206</c:v>
                </c:pt>
                <c:pt idx="10">
                  <c:v>-116.23053104131397</c:v>
                </c:pt>
                <c:pt idx="11">
                  <c:v>-107.53311138507587</c:v>
                </c:pt>
                <c:pt idx="12">
                  <c:v>-98.835691728837787</c:v>
                </c:pt>
                <c:pt idx="13">
                  <c:v>-90.138272072599705</c:v>
                </c:pt>
                <c:pt idx="14">
                  <c:v>-81.440852416361608</c:v>
                </c:pt>
                <c:pt idx="15">
                  <c:v>-72.743432760123511</c:v>
                </c:pt>
                <c:pt idx="16">
                  <c:v>-64.046013103885429</c:v>
                </c:pt>
                <c:pt idx="17">
                  <c:v>-55.348593447647346</c:v>
                </c:pt>
                <c:pt idx="18">
                  <c:v>-46.651173791409263</c:v>
                </c:pt>
                <c:pt idx="19">
                  <c:v>-37.953754135171152</c:v>
                </c:pt>
                <c:pt idx="20">
                  <c:v>-29.256334478933073</c:v>
                </c:pt>
                <c:pt idx="21">
                  <c:v>-20.558914822694991</c:v>
                </c:pt>
                <c:pt idx="22">
                  <c:v>-11.86149516645688</c:v>
                </c:pt>
                <c:pt idx="23">
                  <c:v>-3.1640755102187978</c:v>
                </c:pt>
                <c:pt idx="24">
                  <c:v>5.5333441460192843</c:v>
                </c:pt>
                <c:pt idx="25">
                  <c:v>14.230763802257366</c:v>
                </c:pt>
                <c:pt idx="26">
                  <c:v>22.92818345849545</c:v>
                </c:pt>
                <c:pt idx="27">
                  <c:v>31.625603114733561</c:v>
                </c:pt>
                <c:pt idx="28">
                  <c:v>40.32302277097164</c:v>
                </c:pt>
                <c:pt idx="29">
                  <c:v>49.020442427209723</c:v>
                </c:pt>
                <c:pt idx="30">
                  <c:v>57.717862083447834</c:v>
                </c:pt>
                <c:pt idx="31">
                  <c:v>66.415281739685895</c:v>
                </c:pt>
                <c:pt idx="32">
                  <c:v>75.112701395924006</c:v>
                </c:pt>
                <c:pt idx="33">
                  <c:v>83.810121052162117</c:v>
                </c:pt>
                <c:pt idx="34">
                  <c:v>92.507540708400157</c:v>
                </c:pt>
                <c:pt idx="35">
                  <c:v>101.20496036463827</c:v>
                </c:pt>
                <c:pt idx="36">
                  <c:v>109.90238002087632</c:v>
                </c:pt>
                <c:pt idx="37">
                  <c:v>118.59979967711443</c:v>
                </c:pt>
                <c:pt idx="38">
                  <c:v>127.29721933335254</c:v>
                </c:pt>
                <c:pt idx="39">
                  <c:v>135.99463898959061</c:v>
                </c:pt>
                <c:pt idx="40">
                  <c:v>144.69205864582872</c:v>
                </c:pt>
                <c:pt idx="41">
                  <c:v>153.38947830206683</c:v>
                </c:pt>
                <c:pt idx="42">
                  <c:v>162.08689795830489</c:v>
                </c:pt>
                <c:pt idx="43">
                  <c:v>170.784317614543</c:v>
                </c:pt>
                <c:pt idx="44">
                  <c:v>179.48173727078111</c:v>
                </c:pt>
                <c:pt idx="45">
                  <c:v>188.17915692701916</c:v>
                </c:pt>
                <c:pt idx="46">
                  <c:v>196.87657658325728</c:v>
                </c:pt>
                <c:pt idx="47">
                  <c:v>205.57399623949533</c:v>
                </c:pt>
                <c:pt idx="48">
                  <c:v>214.27141589573344</c:v>
                </c:pt>
                <c:pt idx="49">
                  <c:v>222.96883555197155</c:v>
                </c:pt>
                <c:pt idx="50">
                  <c:v>231.66625520820961</c:v>
                </c:pt>
                <c:pt idx="51">
                  <c:v>240.36367486444772</c:v>
                </c:pt>
                <c:pt idx="52">
                  <c:v>249.06109452068577</c:v>
                </c:pt>
                <c:pt idx="53">
                  <c:v>257.75851417692388</c:v>
                </c:pt>
                <c:pt idx="54">
                  <c:v>266.45593383316196</c:v>
                </c:pt>
                <c:pt idx="55">
                  <c:v>275.15335348939999</c:v>
                </c:pt>
                <c:pt idx="56">
                  <c:v>283.85077314563819</c:v>
                </c:pt>
                <c:pt idx="57">
                  <c:v>292.54819280187621</c:v>
                </c:pt>
                <c:pt idx="58">
                  <c:v>301.24561245811429</c:v>
                </c:pt>
                <c:pt idx="59">
                  <c:v>309.94303211435243</c:v>
                </c:pt>
                <c:pt idx="60">
                  <c:v>318.64045177059052</c:v>
                </c:pt>
                <c:pt idx="61">
                  <c:v>327.33787142682854</c:v>
                </c:pt>
                <c:pt idx="62">
                  <c:v>336.03529108306662</c:v>
                </c:pt>
                <c:pt idx="63">
                  <c:v>344.73271073930476</c:v>
                </c:pt>
                <c:pt idx="64">
                  <c:v>353.43013039554285</c:v>
                </c:pt>
                <c:pt idx="65">
                  <c:v>362.12755005178087</c:v>
                </c:pt>
                <c:pt idx="66">
                  <c:v>370.82496970801907</c:v>
                </c:pt>
                <c:pt idx="67">
                  <c:v>379.52238936425709</c:v>
                </c:pt>
                <c:pt idx="68">
                  <c:v>388.21980902049518</c:v>
                </c:pt>
                <c:pt idx="69">
                  <c:v>396.91722867673332</c:v>
                </c:pt>
                <c:pt idx="70">
                  <c:v>405.6146483329714</c:v>
                </c:pt>
                <c:pt idx="71">
                  <c:v>414.31206798920942</c:v>
                </c:pt>
                <c:pt idx="72">
                  <c:v>423.00948764544751</c:v>
                </c:pt>
                <c:pt idx="73">
                  <c:v>431.70690730168565</c:v>
                </c:pt>
                <c:pt idx="74">
                  <c:v>440.40432695792373</c:v>
                </c:pt>
                <c:pt idx="75">
                  <c:v>449.10174661416175</c:v>
                </c:pt>
                <c:pt idx="76">
                  <c:v>457.79916627039995</c:v>
                </c:pt>
                <c:pt idx="77">
                  <c:v>466.49658592663798</c:v>
                </c:pt>
                <c:pt idx="78">
                  <c:v>475.19400558287606</c:v>
                </c:pt>
                <c:pt idx="79">
                  <c:v>483.8914252391142</c:v>
                </c:pt>
                <c:pt idx="80">
                  <c:v>492.58884489535228</c:v>
                </c:pt>
                <c:pt idx="81">
                  <c:v>501.28626455159031</c:v>
                </c:pt>
                <c:pt idx="82">
                  <c:v>509.9836842078285</c:v>
                </c:pt>
                <c:pt idx="83">
                  <c:v>518.68110386406659</c:v>
                </c:pt>
                <c:pt idx="84">
                  <c:v>527.37852352030461</c:v>
                </c:pt>
                <c:pt idx="85">
                  <c:v>536.07594317654275</c:v>
                </c:pt>
                <c:pt idx="86">
                  <c:v>544.77336283278078</c:v>
                </c:pt>
                <c:pt idx="87">
                  <c:v>553.47078248901892</c:v>
                </c:pt>
                <c:pt idx="88">
                  <c:v>562.16820214525706</c:v>
                </c:pt>
                <c:pt idx="89">
                  <c:v>570.86562180149508</c:v>
                </c:pt>
                <c:pt idx="90">
                  <c:v>579.56304145773311</c:v>
                </c:pt>
                <c:pt idx="91">
                  <c:v>588.26046111397125</c:v>
                </c:pt>
                <c:pt idx="92">
                  <c:v>596.95788077020939</c:v>
                </c:pt>
                <c:pt idx="93">
                  <c:v>605.65530042644741</c:v>
                </c:pt>
                <c:pt idx="94">
                  <c:v>614.35272008268544</c:v>
                </c:pt>
                <c:pt idx="95">
                  <c:v>623.05013973892369</c:v>
                </c:pt>
                <c:pt idx="96">
                  <c:v>631.74755939516172</c:v>
                </c:pt>
                <c:pt idx="97">
                  <c:v>640.44497905139974</c:v>
                </c:pt>
                <c:pt idx="98">
                  <c:v>649.14239870763788</c:v>
                </c:pt>
                <c:pt idx="99">
                  <c:v>657.83981836387602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-17.124593883740655</c:v>
                </c:pt>
                <c:pt idx="1">
                  <c:v>-17.124593883740655</c:v>
                </c:pt>
                <c:pt idx="2">
                  <c:v>-17.094869751717283</c:v>
                </c:pt>
                <c:pt idx="3">
                  <c:v>-16.990138452841897</c:v>
                </c:pt>
                <c:pt idx="4">
                  <c:v>-16.809921782530864</c:v>
                </c:pt>
                <c:pt idx="5">
                  <c:v>-16.554219740784184</c:v>
                </c:pt>
                <c:pt idx="6">
                  <c:v>-16.22303232760186</c:v>
                </c:pt>
                <c:pt idx="7">
                  <c:v>-15.816359542983886</c:v>
                </c:pt>
                <c:pt idx="8">
                  <c:v>-15.33420138693026</c:v>
                </c:pt>
                <c:pt idx="9">
                  <c:v>-14.776557859440988</c:v>
                </c:pt>
                <c:pt idx="10">
                  <c:v>-14.143428960516072</c:v>
                </c:pt>
                <c:pt idx="11">
                  <c:v>-13.434814690155505</c:v>
                </c:pt>
                <c:pt idx="12">
                  <c:v>-12.650715048359292</c:v>
                </c:pt>
                <c:pt idx="13">
                  <c:v>-11.791130035127434</c:v>
                </c:pt>
                <c:pt idx="14">
                  <c:v>-10.856059650459922</c:v>
                </c:pt>
                <c:pt idx="15">
                  <c:v>-9.8455038943567637</c:v>
                </c:pt>
                <c:pt idx="16">
                  <c:v>-8.7594627668179612</c:v>
                </c:pt>
                <c:pt idx="17">
                  <c:v>-7.597936267843509</c:v>
                </c:pt>
                <c:pt idx="18">
                  <c:v>-6.3609243974334087</c:v>
                </c:pt>
                <c:pt idx="19">
                  <c:v>-5.0484271555876576</c:v>
                </c:pt>
                <c:pt idx="20">
                  <c:v>-3.6599393339997892</c:v>
                </c:pt>
                <c:pt idx="21">
                  <c:v>-2.1374628648304421</c:v>
                </c:pt>
                <c:pt idx="22">
                  <c:v>-0.44139650709493994</c:v>
                </c:pt>
                <c:pt idx="23">
                  <c:v>1.4282597392067058</c:v>
                </c:pt>
                <c:pt idx="24">
                  <c:v>3.4715058740745004</c:v>
                </c:pt>
                <c:pt idx="25">
                  <c:v>5.6883418975084448</c:v>
                </c:pt>
                <c:pt idx="26">
                  <c:v>8.0787678095085376</c:v>
                </c:pt>
                <c:pt idx="27">
                  <c:v>10.642783610074789</c:v>
                </c:pt>
                <c:pt idx="28">
                  <c:v>13.380389299207179</c:v>
                </c:pt>
                <c:pt idx="29">
                  <c:v>16.29158487690572</c:v>
                </c:pt>
                <c:pt idx="30">
                  <c:v>19.376370343170422</c:v>
                </c:pt>
                <c:pt idx="31">
                  <c:v>22.634745698001247</c:v>
                </c:pt>
                <c:pt idx="32">
                  <c:v>26.066710941398249</c:v>
                </c:pt>
                <c:pt idx="33">
                  <c:v>29.672266073361399</c:v>
                </c:pt>
                <c:pt idx="34">
                  <c:v>33.45141109389067</c:v>
                </c:pt>
                <c:pt idx="35">
                  <c:v>37.404146002986117</c:v>
                </c:pt>
                <c:pt idx="36">
                  <c:v>41.530470800647691</c:v>
                </c:pt>
                <c:pt idx="37">
                  <c:v>45.830385486875443</c:v>
                </c:pt>
                <c:pt idx="38">
                  <c:v>50.303890061669343</c:v>
                </c:pt>
                <c:pt idx="39">
                  <c:v>54.950984525029355</c:v>
                </c:pt>
                <c:pt idx="40">
                  <c:v>59.771668876955552</c:v>
                </c:pt>
                <c:pt idx="41">
                  <c:v>64.765943117447904</c:v>
                </c:pt>
                <c:pt idx="42">
                  <c:v>69.933807246506362</c:v>
                </c:pt>
                <c:pt idx="43">
                  <c:v>75.275261264131018</c:v>
                </c:pt>
                <c:pt idx="44">
                  <c:v>80.790305170321815</c:v>
                </c:pt>
                <c:pt idx="45">
                  <c:v>86.478938965078726</c:v>
                </c:pt>
                <c:pt idx="46">
                  <c:v>92.34116264840182</c:v>
                </c:pt>
                <c:pt idx="47">
                  <c:v>98.376976220291041</c:v>
                </c:pt>
                <c:pt idx="48">
                  <c:v>104.58637968074642</c:v>
                </c:pt>
                <c:pt idx="49">
                  <c:v>110.96937302976797</c:v>
                </c:pt>
                <c:pt idx="50">
                  <c:v>117.52595626735562</c:v>
                </c:pt>
                <c:pt idx="51">
                  <c:v>124.25612939350947</c:v>
                </c:pt>
                <c:pt idx="52">
                  <c:v>131.15989240822941</c:v>
                </c:pt>
                <c:pt idx="53">
                  <c:v>138.23724531151555</c:v>
                </c:pt>
                <c:pt idx="54">
                  <c:v>145.4881881033678</c:v>
                </c:pt>
                <c:pt idx="55">
                  <c:v>152.9127207837862</c:v>
                </c:pt>
                <c:pt idx="56">
                  <c:v>160.51084335277085</c:v>
                </c:pt>
                <c:pt idx="57">
                  <c:v>168.28255581032155</c:v>
                </c:pt>
                <c:pt idx="58">
                  <c:v>176.22785815643837</c:v>
                </c:pt>
                <c:pt idx="59">
                  <c:v>184.3467503911215</c:v>
                </c:pt>
                <c:pt idx="60">
                  <c:v>192.63923251437063</c:v>
                </c:pt>
                <c:pt idx="61">
                  <c:v>201.10530452618593</c:v>
                </c:pt>
                <c:pt idx="62">
                  <c:v>209.74496642656734</c:v>
                </c:pt>
                <c:pt idx="63">
                  <c:v>218.55821821551507</c:v>
                </c:pt>
                <c:pt idx="64">
                  <c:v>227.54505989302879</c:v>
                </c:pt>
                <c:pt idx="65">
                  <c:v>236.70549145910866</c:v>
                </c:pt>
                <c:pt idx="66">
                  <c:v>246.03951291375483</c:v>
                </c:pt>
                <c:pt idx="67">
                  <c:v>255.54712425696701</c:v>
                </c:pt>
                <c:pt idx="68">
                  <c:v>265.22832548874533</c:v>
                </c:pt>
                <c:pt idx="69">
                  <c:v>275.08311660908998</c:v>
                </c:pt>
                <c:pt idx="70">
                  <c:v>285.11149761800056</c:v>
                </c:pt>
                <c:pt idx="71">
                  <c:v>295.31346851547733</c:v>
                </c:pt>
                <c:pt idx="72">
                  <c:v>305.68902930152024</c:v>
                </c:pt>
                <c:pt idx="73">
                  <c:v>316.23817997612946</c:v>
                </c:pt>
                <c:pt idx="74">
                  <c:v>326.96092053930465</c:v>
                </c:pt>
                <c:pt idx="75">
                  <c:v>337.85725099104604</c:v>
                </c:pt>
                <c:pt idx="76">
                  <c:v>348.92717133135369</c:v>
                </c:pt>
                <c:pt idx="77">
                  <c:v>360.17068156022737</c:v>
                </c:pt>
                <c:pt idx="78">
                  <c:v>371.58778167766718</c:v>
                </c:pt>
                <c:pt idx="79">
                  <c:v>383.17847168367331</c:v>
                </c:pt>
                <c:pt idx="80">
                  <c:v>394.94275157824541</c:v>
                </c:pt>
                <c:pt idx="81">
                  <c:v>406.88062136138376</c:v>
                </c:pt>
                <c:pt idx="82">
                  <c:v>418.9920810330882</c:v>
                </c:pt>
                <c:pt idx="83">
                  <c:v>431.27713059335889</c:v>
                </c:pt>
                <c:pt idx="84">
                  <c:v>443.73577004219555</c:v>
                </c:pt>
                <c:pt idx="85">
                  <c:v>456.36799937959847</c:v>
                </c:pt>
                <c:pt idx="86">
                  <c:v>469.17381860556759</c:v>
                </c:pt>
                <c:pt idx="87">
                  <c:v>482.15322772010273</c:v>
                </c:pt>
                <c:pt idx="88">
                  <c:v>495.30622672320425</c:v>
                </c:pt>
                <c:pt idx="89">
                  <c:v>508.63281561487167</c:v>
                </c:pt>
                <c:pt idx="90">
                  <c:v>522.13299439510524</c:v>
                </c:pt>
                <c:pt idx="91">
                  <c:v>535.80676306390501</c:v>
                </c:pt>
                <c:pt idx="92">
                  <c:v>549.65412162127109</c:v>
                </c:pt>
                <c:pt idx="93">
                  <c:v>563.67507006720314</c:v>
                </c:pt>
                <c:pt idx="94">
                  <c:v>577.86960840170127</c:v>
                </c:pt>
                <c:pt idx="95">
                  <c:v>592.23773662476583</c:v>
                </c:pt>
                <c:pt idx="96">
                  <c:v>606.77945473639625</c:v>
                </c:pt>
                <c:pt idx="97">
                  <c:v>621.49476273659286</c:v>
                </c:pt>
                <c:pt idx="98">
                  <c:v>636.3836606253559</c:v>
                </c:pt>
                <c:pt idx="99">
                  <c:v>651.4461484026848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-203.20472760369486</c:v>
                </c:pt>
                <c:pt idx="1">
                  <c:v>-194.50730794745678</c:v>
                </c:pt>
                <c:pt idx="2">
                  <c:v>-185.80988829121867</c:v>
                </c:pt>
                <c:pt idx="3">
                  <c:v>-177.11246863498059</c:v>
                </c:pt>
                <c:pt idx="4">
                  <c:v>-168.4150489787425</c:v>
                </c:pt>
                <c:pt idx="5">
                  <c:v>-159.71762932250442</c:v>
                </c:pt>
                <c:pt idx="6">
                  <c:v>-151.02020966626634</c:v>
                </c:pt>
                <c:pt idx="7">
                  <c:v>-142.32279001002823</c:v>
                </c:pt>
                <c:pt idx="8">
                  <c:v>-133.62537035379015</c:v>
                </c:pt>
                <c:pt idx="9">
                  <c:v>-124.92795069755206</c:v>
                </c:pt>
                <c:pt idx="10">
                  <c:v>-116.23053104131397</c:v>
                </c:pt>
                <c:pt idx="11">
                  <c:v>-107.53311138507587</c:v>
                </c:pt>
                <c:pt idx="12">
                  <c:v>-98.835691728837787</c:v>
                </c:pt>
                <c:pt idx="13">
                  <c:v>-90.138272072599705</c:v>
                </c:pt>
                <c:pt idx="14">
                  <c:v>-81.440852416361608</c:v>
                </c:pt>
                <c:pt idx="15">
                  <c:v>-72.743432760123511</c:v>
                </c:pt>
                <c:pt idx="16">
                  <c:v>-64.046013103885429</c:v>
                </c:pt>
                <c:pt idx="17">
                  <c:v>-55.348593447647346</c:v>
                </c:pt>
                <c:pt idx="18">
                  <c:v>-46.651173791409263</c:v>
                </c:pt>
                <c:pt idx="19">
                  <c:v>-37.953754135171152</c:v>
                </c:pt>
                <c:pt idx="20">
                  <c:v>-29.256334478933073</c:v>
                </c:pt>
                <c:pt idx="21">
                  <c:v>-20.558914822694991</c:v>
                </c:pt>
                <c:pt idx="22">
                  <c:v>-11.86149516645688</c:v>
                </c:pt>
                <c:pt idx="23">
                  <c:v>-3.1640755102187978</c:v>
                </c:pt>
                <c:pt idx="24">
                  <c:v>5.5333441460192843</c:v>
                </c:pt>
                <c:pt idx="25">
                  <c:v>14.230763802257366</c:v>
                </c:pt>
                <c:pt idx="26">
                  <c:v>22.92818345849545</c:v>
                </c:pt>
                <c:pt idx="27">
                  <c:v>31.625603114733561</c:v>
                </c:pt>
                <c:pt idx="28">
                  <c:v>40.32302277097164</c:v>
                </c:pt>
                <c:pt idx="29">
                  <c:v>49.020442427209723</c:v>
                </c:pt>
                <c:pt idx="30">
                  <c:v>57.717862083447834</c:v>
                </c:pt>
                <c:pt idx="31">
                  <c:v>66.415281739685895</c:v>
                </c:pt>
                <c:pt idx="32">
                  <c:v>75.112701395924006</c:v>
                </c:pt>
                <c:pt idx="33">
                  <c:v>83.810121052162117</c:v>
                </c:pt>
                <c:pt idx="34">
                  <c:v>92.507540708400157</c:v>
                </c:pt>
                <c:pt idx="35">
                  <c:v>101.20496036463827</c:v>
                </c:pt>
                <c:pt idx="36">
                  <c:v>109.90238002087632</c:v>
                </c:pt>
                <c:pt idx="37">
                  <c:v>118.59979967711443</c:v>
                </c:pt>
                <c:pt idx="38">
                  <c:v>127.29721933335254</c:v>
                </c:pt>
                <c:pt idx="39">
                  <c:v>135.99463898959061</c:v>
                </c:pt>
                <c:pt idx="40">
                  <c:v>144.69205864582872</c:v>
                </c:pt>
                <c:pt idx="41">
                  <c:v>153.38947830206683</c:v>
                </c:pt>
                <c:pt idx="42">
                  <c:v>162.08689795830489</c:v>
                </c:pt>
                <c:pt idx="43">
                  <c:v>170.784317614543</c:v>
                </c:pt>
                <c:pt idx="44">
                  <c:v>179.48173727078111</c:v>
                </c:pt>
                <c:pt idx="45">
                  <c:v>188.17915692701916</c:v>
                </c:pt>
                <c:pt idx="46">
                  <c:v>196.87657658325728</c:v>
                </c:pt>
                <c:pt idx="47">
                  <c:v>205.57399623949533</c:v>
                </c:pt>
                <c:pt idx="48">
                  <c:v>214.27141589573344</c:v>
                </c:pt>
                <c:pt idx="49">
                  <c:v>222.96883555197155</c:v>
                </c:pt>
                <c:pt idx="50">
                  <c:v>231.66625520820961</c:v>
                </c:pt>
                <c:pt idx="51">
                  <c:v>240.36367486444772</c:v>
                </c:pt>
                <c:pt idx="52">
                  <c:v>249.06109452068577</c:v>
                </c:pt>
                <c:pt idx="53">
                  <c:v>257.75851417692388</c:v>
                </c:pt>
                <c:pt idx="54">
                  <c:v>266.45593383316196</c:v>
                </c:pt>
                <c:pt idx="55">
                  <c:v>275.15335348939999</c:v>
                </c:pt>
                <c:pt idx="56">
                  <c:v>283.85077314563819</c:v>
                </c:pt>
                <c:pt idx="57">
                  <c:v>292.54819280187621</c:v>
                </c:pt>
                <c:pt idx="58">
                  <c:v>301.24561245811429</c:v>
                </c:pt>
                <c:pt idx="59">
                  <c:v>309.94303211435243</c:v>
                </c:pt>
                <c:pt idx="60">
                  <c:v>318.64045177059052</c:v>
                </c:pt>
                <c:pt idx="61">
                  <c:v>327.33787142682854</c:v>
                </c:pt>
                <c:pt idx="62">
                  <c:v>336.03529108306662</c:v>
                </c:pt>
                <c:pt idx="63">
                  <c:v>344.73271073930476</c:v>
                </c:pt>
                <c:pt idx="64">
                  <c:v>353.43013039554285</c:v>
                </c:pt>
                <c:pt idx="65">
                  <c:v>362.12755005178087</c:v>
                </c:pt>
                <c:pt idx="66">
                  <c:v>370.82496970801907</c:v>
                </c:pt>
                <c:pt idx="67">
                  <c:v>379.52238936425709</c:v>
                </c:pt>
                <c:pt idx="68">
                  <c:v>388.21980902049518</c:v>
                </c:pt>
                <c:pt idx="69">
                  <c:v>396.91722867673332</c:v>
                </c:pt>
                <c:pt idx="70">
                  <c:v>405.6146483329714</c:v>
                </c:pt>
                <c:pt idx="71">
                  <c:v>414.31206798920942</c:v>
                </c:pt>
                <c:pt idx="72">
                  <c:v>423.00948764544751</c:v>
                </c:pt>
                <c:pt idx="73">
                  <c:v>431.70690730168565</c:v>
                </c:pt>
                <c:pt idx="74">
                  <c:v>440.40432695792373</c:v>
                </c:pt>
                <c:pt idx="75">
                  <c:v>449.10174661416175</c:v>
                </c:pt>
                <c:pt idx="76">
                  <c:v>457.79916627039995</c:v>
                </c:pt>
                <c:pt idx="77">
                  <c:v>466.49658592663798</c:v>
                </c:pt>
                <c:pt idx="78">
                  <c:v>475.19400558287606</c:v>
                </c:pt>
                <c:pt idx="79">
                  <c:v>483.8914252391142</c:v>
                </c:pt>
                <c:pt idx="80">
                  <c:v>492.58884489535228</c:v>
                </c:pt>
                <c:pt idx="81">
                  <c:v>501.28626455159031</c:v>
                </c:pt>
                <c:pt idx="82">
                  <c:v>509.9836842078285</c:v>
                </c:pt>
                <c:pt idx="83">
                  <c:v>518.68110386406659</c:v>
                </c:pt>
                <c:pt idx="84">
                  <c:v>527.37852352030461</c:v>
                </c:pt>
                <c:pt idx="85">
                  <c:v>536.07594317654275</c:v>
                </c:pt>
                <c:pt idx="86">
                  <c:v>544.77336283278078</c:v>
                </c:pt>
                <c:pt idx="87">
                  <c:v>553.47078248901892</c:v>
                </c:pt>
                <c:pt idx="88">
                  <c:v>562.16820214525706</c:v>
                </c:pt>
                <c:pt idx="89">
                  <c:v>570.86562180149508</c:v>
                </c:pt>
                <c:pt idx="90">
                  <c:v>579.56304145773311</c:v>
                </c:pt>
                <c:pt idx="91">
                  <c:v>588.26046111397125</c:v>
                </c:pt>
                <c:pt idx="92">
                  <c:v>596.95788077020939</c:v>
                </c:pt>
                <c:pt idx="93">
                  <c:v>605.65530042644741</c:v>
                </c:pt>
                <c:pt idx="94">
                  <c:v>614.35272008268544</c:v>
                </c:pt>
                <c:pt idx="95">
                  <c:v>623.05013973892369</c:v>
                </c:pt>
                <c:pt idx="96">
                  <c:v>631.74755939516172</c:v>
                </c:pt>
                <c:pt idx="97">
                  <c:v>640.44497905139974</c:v>
                </c:pt>
                <c:pt idx="98">
                  <c:v>649.14239870763788</c:v>
                </c:pt>
                <c:pt idx="99">
                  <c:v>657.83981836387602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908.68181785475315</c:v>
                </c:pt>
                <c:pt idx="1">
                  <c:v>908.68181785475315</c:v>
                </c:pt>
                <c:pt idx="2">
                  <c:v>908.68475946661908</c:v>
                </c:pt>
                <c:pt idx="3">
                  <c:v>908.69512406973945</c:v>
                </c:pt>
                <c:pt idx="4">
                  <c:v>908.71295898903782</c:v>
                </c:pt>
                <c:pt idx="5">
                  <c:v>908.73826422451396</c:v>
                </c:pt>
                <c:pt idx="6">
                  <c:v>908.77103977616798</c:v>
                </c:pt>
                <c:pt idx="7">
                  <c:v>908.81128564400001</c:v>
                </c:pt>
                <c:pt idx="8">
                  <c:v>908.85900182800981</c:v>
                </c:pt>
                <c:pt idx="9">
                  <c:v>908.91418832819772</c:v>
                </c:pt>
                <c:pt idx="10">
                  <c:v>908.9768451445633</c:v>
                </c:pt>
                <c:pt idx="11">
                  <c:v>909.0469722771071</c:v>
                </c:pt>
                <c:pt idx="12">
                  <c:v>909.12456972582856</c:v>
                </c:pt>
                <c:pt idx="13">
                  <c:v>909.20963749072803</c:v>
                </c:pt>
                <c:pt idx="14">
                  <c:v>909.30217557180538</c:v>
                </c:pt>
                <c:pt idx="15">
                  <c:v>909.40218396906062</c:v>
                </c:pt>
                <c:pt idx="16">
                  <c:v>909.50966268249385</c:v>
                </c:pt>
                <c:pt idx="17">
                  <c:v>909.62461171210487</c:v>
                </c:pt>
                <c:pt idx="18">
                  <c:v>909.74703105789388</c:v>
                </c:pt>
                <c:pt idx="19">
                  <c:v>909.87692071986078</c:v>
                </c:pt>
                <c:pt idx="20">
                  <c:v>910.01463414060095</c:v>
                </c:pt>
                <c:pt idx="21">
                  <c:v>910.20074663797016</c:v>
                </c:pt>
                <c:pt idx="22">
                  <c:v>910.46296315112079</c:v>
                </c:pt>
                <c:pt idx="23">
                  <c:v>910.80128368005296</c:v>
                </c:pt>
                <c:pt idx="24">
                  <c:v>911.21570822476656</c:v>
                </c:pt>
                <c:pt idx="25">
                  <c:v>911.70623678526169</c:v>
                </c:pt>
                <c:pt idx="26">
                  <c:v>912.27286936153814</c:v>
                </c:pt>
                <c:pt idx="27">
                  <c:v>912.91560595359601</c:v>
                </c:pt>
                <c:pt idx="28">
                  <c:v>913.63444656143542</c:v>
                </c:pt>
                <c:pt idx="29">
                  <c:v>914.42939118505626</c:v>
                </c:pt>
                <c:pt idx="30">
                  <c:v>915.30043982445864</c:v>
                </c:pt>
                <c:pt idx="31">
                  <c:v>916.24759247964232</c:v>
                </c:pt>
                <c:pt idx="32">
                  <c:v>917.27084915060755</c:v>
                </c:pt>
                <c:pt idx="33">
                  <c:v>918.37020983735431</c:v>
                </c:pt>
                <c:pt idx="34">
                  <c:v>919.54567453988238</c:v>
                </c:pt>
                <c:pt idx="35">
                  <c:v>920.797243258192</c:v>
                </c:pt>
                <c:pt idx="36">
                  <c:v>922.12491599228304</c:v>
                </c:pt>
                <c:pt idx="37">
                  <c:v>923.5286927421555</c:v>
                </c:pt>
                <c:pt idx="38">
                  <c:v>925.00857350780939</c:v>
                </c:pt>
                <c:pt idx="39">
                  <c:v>926.56455828924481</c:v>
                </c:pt>
                <c:pt idx="40">
                  <c:v>928.19664708646167</c:v>
                </c:pt>
                <c:pt idx="41">
                  <c:v>929.90483989945994</c:v>
                </c:pt>
                <c:pt idx="42">
                  <c:v>931.68913672823976</c:v>
                </c:pt>
                <c:pt idx="43">
                  <c:v>933.54953757280089</c:v>
                </c:pt>
                <c:pt idx="44">
                  <c:v>935.48604243314355</c:v>
                </c:pt>
                <c:pt idx="45">
                  <c:v>937.49865130926776</c:v>
                </c:pt>
                <c:pt idx="46">
                  <c:v>939.58736420117327</c:v>
                </c:pt>
                <c:pt idx="47">
                  <c:v>941.75218110886033</c:v>
                </c:pt>
                <c:pt idx="48">
                  <c:v>943.99310203232869</c:v>
                </c:pt>
                <c:pt idx="49">
                  <c:v>946.31012697157871</c:v>
                </c:pt>
                <c:pt idx="50">
                  <c:v>948.70325592661004</c:v>
                </c:pt>
                <c:pt idx="51">
                  <c:v>951.17248889742291</c:v>
                </c:pt>
                <c:pt idx="52">
                  <c:v>953.7178258840172</c:v>
                </c:pt>
                <c:pt idx="53">
                  <c:v>956.33926688639292</c:v>
                </c:pt>
                <c:pt idx="54">
                  <c:v>959.03681190455018</c:v>
                </c:pt>
                <c:pt idx="55">
                  <c:v>961.81046093848886</c:v>
                </c:pt>
                <c:pt idx="56">
                  <c:v>964.66021398820897</c:v>
                </c:pt>
                <c:pt idx="57">
                  <c:v>967.5860710537105</c:v>
                </c:pt>
                <c:pt idx="58">
                  <c:v>970.58803213499345</c:v>
                </c:pt>
                <c:pt idx="59">
                  <c:v>973.66609723205795</c:v>
                </c:pt>
                <c:pt idx="60">
                  <c:v>976.82026634490398</c:v>
                </c:pt>
                <c:pt idx="61">
                  <c:v>980.05053947353133</c:v>
                </c:pt>
                <c:pt idx="62">
                  <c:v>983.3569166179401</c:v>
                </c:pt>
                <c:pt idx="63">
                  <c:v>986.73939777813041</c:v>
                </c:pt>
                <c:pt idx="64">
                  <c:v>990.19798295410214</c:v>
                </c:pt>
                <c:pt idx="65">
                  <c:v>993.7326721458553</c:v>
                </c:pt>
                <c:pt idx="66">
                  <c:v>997.34346535339</c:v>
                </c:pt>
                <c:pt idx="67">
                  <c:v>1001.0303625767061</c:v>
                </c:pt>
                <c:pt idx="68">
                  <c:v>1004.7933638158036</c:v>
                </c:pt>
                <c:pt idx="69">
                  <c:v>1008.6324690706826</c:v>
                </c:pt>
                <c:pt idx="70">
                  <c:v>1012.547678341343</c:v>
                </c:pt>
                <c:pt idx="71">
                  <c:v>1016.538991627785</c:v>
                </c:pt>
                <c:pt idx="72">
                  <c:v>1020.6064089300083</c:v>
                </c:pt>
                <c:pt idx="73">
                  <c:v>1024.7499302480132</c:v>
                </c:pt>
                <c:pt idx="74">
                  <c:v>1028.9695555817996</c:v>
                </c:pt>
                <c:pt idx="75">
                  <c:v>1033.2652849313672</c:v>
                </c:pt>
                <c:pt idx="76">
                  <c:v>1037.6371182967164</c:v>
                </c:pt>
                <c:pt idx="77">
                  <c:v>1042.0850556778471</c:v>
                </c:pt>
                <c:pt idx="78">
                  <c:v>1046.6090970747591</c:v>
                </c:pt>
                <c:pt idx="79">
                  <c:v>1051.2092424874527</c:v>
                </c:pt>
                <c:pt idx="80">
                  <c:v>1055.8854919159278</c:v>
                </c:pt>
                <c:pt idx="81">
                  <c:v>1060.6378453601842</c:v>
                </c:pt>
                <c:pt idx="82">
                  <c:v>1065.4663028202219</c:v>
                </c:pt>
                <c:pt idx="83">
                  <c:v>1070.3708642960414</c:v>
                </c:pt>
                <c:pt idx="84">
                  <c:v>1075.3515297876422</c:v>
                </c:pt>
                <c:pt idx="85">
                  <c:v>1080.4082992950246</c:v>
                </c:pt>
                <c:pt idx="86">
                  <c:v>1085.541172818188</c:v>
                </c:pt>
                <c:pt idx="87">
                  <c:v>1090.7501503571332</c:v>
                </c:pt>
                <c:pt idx="88">
                  <c:v>1096.0352319118599</c:v>
                </c:pt>
                <c:pt idx="89">
                  <c:v>1101.3964174823682</c:v>
                </c:pt>
                <c:pt idx="90">
                  <c:v>1106.8337070686575</c:v>
                </c:pt>
                <c:pt idx="91">
                  <c:v>1112.3471006707287</c:v>
                </c:pt>
                <c:pt idx="92">
                  <c:v>1117.9365982885811</c:v>
                </c:pt>
                <c:pt idx="93">
                  <c:v>1123.602199922215</c:v>
                </c:pt>
                <c:pt idx="94">
                  <c:v>1129.3439055716303</c:v>
                </c:pt>
                <c:pt idx="95">
                  <c:v>1135.1617152368269</c:v>
                </c:pt>
                <c:pt idx="96">
                  <c:v>1141.0556289178053</c:v>
                </c:pt>
                <c:pt idx="97">
                  <c:v>1147.0256466145649</c:v>
                </c:pt>
                <c:pt idx="98">
                  <c:v>1153.0717683271062</c:v>
                </c:pt>
                <c:pt idx="99">
                  <c:v>1159.1939940554287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-203.44740618573869</c:v>
                </c:pt>
                <c:pt idx="1">
                  <c:v>-194.9383308173955</c:v>
                </c:pt>
                <c:pt idx="2">
                  <c:v>-186.42925544905231</c:v>
                </c:pt>
                <c:pt idx="3">
                  <c:v>-177.92018008070914</c:v>
                </c:pt>
                <c:pt idx="4">
                  <c:v>-169.41110471236595</c:v>
                </c:pt>
                <c:pt idx="5">
                  <c:v>-160.90202934402276</c:v>
                </c:pt>
                <c:pt idx="6">
                  <c:v>-152.39295397567957</c:v>
                </c:pt>
                <c:pt idx="7">
                  <c:v>-143.88387860733638</c:v>
                </c:pt>
                <c:pt idx="8">
                  <c:v>-135.37480323899322</c:v>
                </c:pt>
                <c:pt idx="9">
                  <c:v>-126.86572787065002</c:v>
                </c:pt>
                <c:pt idx="10">
                  <c:v>-118.35665250230684</c:v>
                </c:pt>
                <c:pt idx="11">
                  <c:v>-109.84757713396365</c:v>
                </c:pt>
                <c:pt idx="12">
                  <c:v>-101.33850176562046</c:v>
                </c:pt>
                <c:pt idx="13">
                  <c:v>-92.829426397277274</c:v>
                </c:pt>
                <c:pt idx="14">
                  <c:v>-84.320351028934098</c:v>
                </c:pt>
                <c:pt idx="15">
                  <c:v>-75.811275660590908</c:v>
                </c:pt>
                <c:pt idx="16">
                  <c:v>-67.302200292247733</c:v>
                </c:pt>
                <c:pt idx="17">
                  <c:v>-58.793124923904543</c:v>
                </c:pt>
                <c:pt idx="18">
                  <c:v>-50.28404955556136</c:v>
                </c:pt>
                <c:pt idx="19">
                  <c:v>-41.774974187218177</c:v>
                </c:pt>
                <c:pt idx="20">
                  <c:v>-33.265898818874994</c:v>
                </c:pt>
                <c:pt idx="21">
                  <c:v>-24.756823450531812</c:v>
                </c:pt>
                <c:pt idx="22">
                  <c:v>-16.247748082188629</c:v>
                </c:pt>
                <c:pt idx="23">
                  <c:v>-7.7386727138454443</c:v>
                </c:pt>
                <c:pt idx="24">
                  <c:v>0.77040265449776779</c:v>
                </c:pt>
                <c:pt idx="25">
                  <c:v>9.2794780228409515</c:v>
                </c:pt>
                <c:pt idx="26">
                  <c:v>17.788553391184134</c:v>
                </c:pt>
                <c:pt idx="27">
                  <c:v>26.297628759527317</c:v>
                </c:pt>
                <c:pt idx="28">
                  <c:v>34.806704127870503</c:v>
                </c:pt>
                <c:pt idx="29">
                  <c:v>43.315779496213686</c:v>
                </c:pt>
                <c:pt idx="30">
                  <c:v>51.824854864556869</c:v>
                </c:pt>
                <c:pt idx="31">
                  <c:v>60.333930232900023</c:v>
                </c:pt>
                <c:pt idx="32">
                  <c:v>68.843005601243235</c:v>
                </c:pt>
                <c:pt idx="33">
                  <c:v>77.352080969586439</c:v>
                </c:pt>
                <c:pt idx="34">
                  <c:v>85.8611563379296</c:v>
                </c:pt>
                <c:pt idx="35">
                  <c:v>94.370231706272804</c:v>
                </c:pt>
                <c:pt idx="36">
                  <c:v>102.87930707461597</c:v>
                </c:pt>
                <c:pt idx="37">
                  <c:v>111.38838244295917</c:v>
                </c:pt>
                <c:pt idx="38">
                  <c:v>119.89745781130233</c:v>
                </c:pt>
                <c:pt idx="39">
                  <c:v>128.40653317964555</c:v>
                </c:pt>
                <c:pt idx="40">
                  <c:v>136.91560854798871</c:v>
                </c:pt>
                <c:pt idx="41">
                  <c:v>145.4246839163319</c:v>
                </c:pt>
                <c:pt idx="42">
                  <c:v>153.93375928467506</c:v>
                </c:pt>
                <c:pt idx="43">
                  <c:v>162.44283465301828</c:v>
                </c:pt>
                <c:pt idx="44">
                  <c:v>170.95191002136144</c:v>
                </c:pt>
                <c:pt idx="45">
                  <c:v>179.46098538970463</c:v>
                </c:pt>
                <c:pt idx="46">
                  <c:v>187.97006075804779</c:v>
                </c:pt>
                <c:pt idx="47">
                  <c:v>196.47913612639101</c:v>
                </c:pt>
                <c:pt idx="48">
                  <c:v>204.98821149473423</c:v>
                </c:pt>
                <c:pt idx="49">
                  <c:v>213.49728686307736</c:v>
                </c:pt>
                <c:pt idx="50">
                  <c:v>222.00636223142058</c:v>
                </c:pt>
                <c:pt idx="51">
                  <c:v>230.51543759976374</c:v>
                </c:pt>
                <c:pt idx="52">
                  <c:v>239.02451296810696</c:v>
                </c:pt>
                <c:pt idx="53">
                  <c:v>247.53358833645009</c:v>
                </c:pt>
                <c:pt idx="54">
                  <c:v>256.04266370479331</c:v>
                </c:pt>
                <c:pt idx="55">
                  <c:v>264.55173907313645</c:v>
                </c:pt>
                <c:pt idx="56">
                  <c:v>273.06081444147969</c:v>
                </c:pt>
                <c:pt idx="57">
                  <c:v>281.56988980982283</c:v>
                </c:pt>
                <c:pt idx="58">
                  <c:v>290.07896517816607</c:v>
                </c:pt>
                <c:pt idx="59">
                  <c:v>298.58804054650921</c:v>
                </c:pt>
                <c:pt idx="60">
                  <c:v>307.0971159148524</c:v>
                </c:pt>
                <c:pt idx="61">
                  <c:v>315.60619128319559</c:v>
                </c:pt>
                <c:pt idx="62">
                  <c:v>324.11526665153872</c:v>
                </c:pt>
                <c:pt idx="63">
                  <c:v>332.62434201988202</c:v>
                </c:pt>
                <c:pt idx="64">
                  <c:v>341.13341738822515</c:v>
                </c:pt>
                <c:pt idx="65">
                  <c:v>349.64249275656829</c:v>
                </c:pt>
                <c:pt idx="66">
                  <c:v>358.15156812491159</c:v>
                </c:pt>
                <c:pt idx="67">
                  <c:v>366.66064349325472</c:v>
                </c:pt>
                <c:pt idx="68">
                  <c:v>375.16971886159786</c:v>
                </c:pt>
                <c:pt idx="69">
                  <c:v>383.67879422994105</c:v>
                </c:pt>
                <c:pt idx="70">
                  <c:v>392.18786959828429</c:v>
                </c:pt>
                <c:pt idx="71">
                  <c:v>400.69694496662748</c:v>
                </c:pt>
                <c:pt idx="72">
                  <c:v>409.20602033497062</c:v>
                </c:pt>
                <c:pt idx="73">
                  <c:v>417.71509570331375</c:v>
                </c:pt>
                <c:pt idx="74">
                  <c:v>426.22417107165705</c:v>
                </c:pt>
                <c:pt idx="75">
                  <c:v>434.73324644000019</c:v>
                </c:pt>
                <c:pt idx="76">
                  <c:v>443.24232180834332</c:v>
                </c:pt>
                <c:pt idx="77">
                  <c:v>451.75139717668651</c:v>
                </c:pt>
                <c:pt idx="78">
                  <c:v>460.26047254502976</c:v>
                </c:pt>
                <c:pt idx="79">
                  <c:v>468.76954791337295</c:v>
                </c:pt>
                <c:pt idx="80">
                  <c:v>477.27862328171608</c:v>
                </c:pt>
                <c:pt idx="81">
                  <c:v>485.78769865005933</c:v>
                </c:pt>
                <c:pt idx="82">
                  <c:v>494.29677401840252</c:v>
                </c:pt>
                <c:pt idx="83">
                  <c:v>502.80584938674565</c:v>
                </c:pt>
                <c:pt idx="84">
                  <c:v>511.31492475508878</c:v>
                </c:pt>
                <c:pt idx="85">
                  <c:v>519.82400012343203</c:v>
                </c:pt>
                <c:pt idx="86">
                  <c:v>528.33307549177528</c:v>
                </c:pt>
                <c:pt idx="87">
                  <c:v>536.84215086011841</c:v>
                </c:pt>
                <c:pt idx="88">
                  <c:v>545.35122622846166</c:v>
                </c:pt>
                <c:pt idx="89">
                  <c:v>553.86030159680479</c:v>
                </c:pt>
                <c:pt idx="90">
                  <c:v>562.36937696514792</c:v>
                </c:pt>
                <c:pt idx="91">
                  <c:v>570.87845233349105</c:v>
                </c:pt>
                <c:pt idx="92">
                  <c:v>579.38752770183419</c:v>
                </c:pt>
                <c:pt idx="93">
                  <c:v>587.89660307017755</c:v>
                </c:pt>
                <c:pt idx="94">
                  <c:v>596.40567843852079</c:v>
                </c:pt>
                <c:pt idx="95">
                  <c:v>604.91475380686393</c:v>
                </c:pt>
                <c:pt idx="96">
                  <c:v>613.42382917520706</c:v>
                </c:pt>
                <c:pt idx="97">
                  <c:v>621.93290454355019</c:v>
                </c:pt>
                <c:pt idx="98">
                  <c:v>630.44197991189333</c:v>
                </c:pt>
                <c:pt idx="99">
                  <c:v>638.95105528023657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-17.263987756453535</c:v>
                </c:pt>
                <c:pt idx="1">
                  <c:v>-17.263987756453535</c:v>
                </c:pt>
                <c:pt idx="2">
                  <c:v>-17.237197232918167</c:v>
                </c:pt>
                <c:pt idx="3">
                  <c:v>-17.138898069314717</c:v>
                </c:pt>
                <c:pt idx="4">
                  <c:v>-16.968397313426241</c:v>
                </c:pt>
                <c:pt idx="5">
                  <c:v>-16.725694965252739</c:v>
                </c:pt>
                <c:pt idx="6">
                  <c:v>-16.410791024794207</c:v>
                </c:pt>
                <c:pt idx="7">
                  <c:v>-16.02368549205065</c:v>
                </c:pt>
                <c:pt idx="8">
                  <c:v>-15.564378367022067</c:v>
                </c:pt>
                <c:pt idx="9">
                  <c:v>-15.032869649708458</c:v>
                </c:pt>
                <c:pt idx="10">
                  <c:v>-14.429159340109821</c:v>
                </c:pt>
                <c:pt idx="11">
                  <c:v>-13.753247438226159</c:v>
                </c:pt>
                <c:pt idx="12">
                  <c:v>-13.005133944057469</c:v>
                </c:pt>
                <c:pt idx="13">
                  <c:v>-12.184818857603753</c:v>
                </c:pt>
                <c:pt idx="14">
                  <c:v>-11.292302178865015</c:v>
                </c:pt>
                <c:pt idx="15">
                  <c:v>-10.327583907841246</c:v>
                </c:pt>
                <c:pt idx="16">
                  <c:v>-9.2906640445324538</c:v>
                </c:pt>
                <c:pt idx="17">
                  <c:v>-8.1815425889386315</c:v>
                </c:pt>
                <c:pt idx="18">
                  <c:v>-7.0002195410597849</c:v>
                </c:pt>
                <c:pt idx="19">
                  <c:v>-5.7466949008959141</c:v>
                </c:pt>
                <c:pt idx="20">
                  <c:v>-4.4209686684470135</c:v>
                </c:pt>
                <c:pt idx="21">
                  <c:v>-3.0021392509370135</c:v>
                </c:pt>
                <c:pt idx="22">
                  <c:v>-1.4136771133147712</c:v>
                </c:pt>
                <c:pt idx="23">
                  <c:v>0.35147264925284305</c:v>
                </c:pt>
                <c:pt idx="24">
                  <c:v>2.2933100367658352</c:v>
                </c:pt>
                <c:pt idx="25">
                  <c:v>4.4118350492241927</c:v>
                </c:pt>
                <c:pt idx="26">
                  <c:v>6.7070476866279201</c:v>
                </c:pt>
                <c:pt idx="27">
                  <c:v>9.1789479489770205</c:v>
                </c:pt>
                <c:pt idx="28">
                  <c:v>11.82753583627149</c:v>
                </c:pt>
                <c:pt idx="29">
                  <c:v>14.652811348511333</c:v>
                </c:pt>
                <c:pt idx="30">
                  <c:v>17.654774485696549</c:v>
                </c:pt>
                <c:pt idx="31">
                  <c:v>20.833425247827119</c:v>
                </c:pt>
                <c:pt idx="32">
                  <c:v>24.18876363490309</c:v>
                </c:pt>
                <c:pt idx="33">
                  <c:v>27.720789646924427</c:v>
                </c:pt>
                <c:pt idx="34">
                  <c:v>31.429503283891112</c:v>
                </c:pt>
                <c:pt idx="35">
                  <c:v>35.314904545803195</c:v>
                </c:pt>
                <c:pt idx="36">
                  <c:v>39.376993432660626</c:v>
                </c:pt>
                <c:pt idx="37">
                  <c:v>43.615769944463452</c:v>
                </c:pt>
                <c:pt idx="38">
                  <c:v>48.031234081211615</c:v>
                </c:pt>
                <c:pt idx="39">
                  <c:v>52.623385842905186</c:v>
                </c:pt>
                <c:pt idx="40">
                  <c:v>57.392225229544096</c:v>
                </c:pt>
                <c:pt idx="41">
                  <c:v>62.337752241128413</c:v>
                </c:pt>
                <c:pt idx="42">
                  <c:v>67.459966877658061</c:v>
                </c:pt>
                <c:pt idx="43">
                  <c:v>72.758869139133111</c:v>
                </c:pt>
                <c:pt idx="44">
                  <c:v>78.234459025553505</c:v>
                </c:pt>
                <c:pt idx="45">
                  <c:v>83.886736536919315</c:v>
                </c:pt>
                <c:pt idx="46">
                  <c:v>89.715701673230441</c:v>
                </c:pt>
                <c:pt idx="47">
                  <c:v>95.721354434486983</c:v>
                </c:pt>
                <c:pt idx="48">
                  <c:v>101.90369482068891</c:v>
                </c:pt>
                <c:pt idx="49">
                  <c:v>108.26272283183616</c:v>
                </c:pt>
                <c:pt idx="50">
                  <c:v>114.79843846792882</c:v>
                </c:pt>
                <c:pt idx="51">
                  <c:v>121.5108417289668</c:v>
                </c:pt>
                <c:pt idx="52">
                  <c:v>128.39993261495022</c:v>
                </c:pt>
                <c:pt idx="53">
                  <c:v>135.46571112587895</c:v>
                </c:pt>
                <c:pt idx="54">
                  <c:v>142.70817726175309</c:v>
                </c:pt>
                <c:pt idx="55">
                  <c:v>150.12733102257258</c:v>
                </c:pt>
                <c:pt idx="56">
                  <c:v>157.72317240833743</c:v>
                </c:pt>
                <c:pt idx="57">
                  <c:v>165.49570141904766</c:v>
                </c:pt>
                <c:pt idx="58">
                  <c:v>173.44491805470329</c:v>
                </c:pt>
                <c:pt idx="59">
                  <c:v>181.57082231530424</c:v>
                </c:pt>
                <c:pt idx="60">
                  <c:v>189.87341420085065</c:v>
                </c:pt>
                <c:pt idx="61">
                  <c:v>198.35269371134234</c:v>
                </c:pt>
                <c:pt idx="62">
                  <c:v>207.00866084677938</c:v>
                </c:pt>
                <c:pt idx="63">
                  <c:v>215.84131560716193</c:v>
                </c:pt>
                <c:pt idx="64">
                  <c:v>224.85065799248974</c:v>
                </c:pt>
                <c:pt idx="65">
                  <c:v>234.03668800276293</c:v>
                </c:pt>
                <c:pt idx="66">
                  <c:v>243.3994056379816</c:v>
                </c:pt>
                <c:pt idx="67">
                  <c:v>252.93881089814556</c:v>
                </c:pt>
                <c:pt idx="68">
                  <c:v>262.65490378325484</c:v>
                </c:pt>
                <c:pt idx="69">
                  <c:v>272.54768429330949</c:v>
                </c:pt>
                <c:pt idx="70">
                  <c:v>282.61715242830962</c:v>
                </c:pt>
                <c:pt idx="71">
                  <c:v>292.86330818825502</c:v>
                </c:pt>
                <c:pt idx="72">
                  <c:v>303.28615157314584</c:v>
                </c:pt>
                <c:pt idx="73">
                  <c:v>313.88568258298193</c:v>
                </c:pt>
                <c:pt idx="74">
                  <c:v>324.66190121776361</c:v>
                </c:pt>
                <c:pt idx="75">
                  <c:v>335.61480747749044</c:v>
                </c:pt>
                <c:pt idx="76">
                  <c:v>346.74440136216276</c:v>
                </c:pt>
                <c:pt idx="77">
                  <c:v>358.05068287178034</c:v>
                </c:pt>
                <c:pt idx="78">
                  <c:v>369.53365200634352</c:v>
                </c:pt>
                <c:pt idx="79">
                  <c:v>381.1933087658519</c:v>
                </c:pt>
                <c:pt idx="80">
                  <c:v>393.02965315030565</c:v>
                </c:pt>
                <c:pt idx="81">
                  <c:v>405.04268515970489</c:v>
                </c:pt>
                <c:pt idx="82">
                  <c:v>417.23240479404939</c:v>
                </c:pt>
                <c:pt idx="83">
                  <c:v>429.59881205333926</c:v>
                </c:pt>
                <c:pt idx="84">
                  <c:v>442.14190693757445</c:v>
                </c:pt>
                <c:pt idx="85">
                  <c:v>454.86168944675524</c:v>
                </c:pt>
                <c:pt idx="86">
                  <c:v>467.75815958088128</c:v>
                </c:pt>
                <c:pt idx="87">
                  <c:v>480.83131733995253</c:v>
                </c:pt>
                <c:pt idx="88">
                  <c:v>494.08116272396927</c:v>
                </c:pt>
                <c:pt idx="89">
                  <c:v>507.50769573293132</c:v>
                </c:pt>
                <c:pt idx="90">
                  <c:v>521.11091636683875</c:v>
                </c:pt>
                <c:pt idx="91">
                  <c:v>534.89082462569149</c:v>
                </c:pt>
                <c:pt idx="92">
                  <c:v>548.84742050948978</c:v>
                </c:pt>
                <c:pt idx="93">
                  <c:v>562.98070401823372</c:v>
                </c:pt>
                <c:pt idx="94">
                  <c:v>577.29067515192264</c:v>
                </c:pt>
                <c:pt idx="95">
                  <c:v>591.77733391055688</c:v>
                </c:pt>
                <c:pt idx="96">
                  <c:v>606.44068029413654</c:v>
                </c:pt>
                <c:pt idx="97">
                  <c:v>621.28071430266152</c:v>
                </c:pt>
                <c:pt idx="98">
                  <c:v>636.29743593613205</c:v>
                </c:pt>
                <c:pt idx="99">
                  <c:v>651.49084519454766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-203.44740618573869</c:v>
                </c:pt>
                <c:pt idx="1">
                  <c:v>-194.9383308173955</c:v>
                </c:pt>
                <c:pt idx="2">
                  <c:v>-186.42925544905231</c:v>
                </c:pt>
                <c:pt idx="3">
                  <c:v>-177.92018008070914</c:v>
                </c:pt>
                <c:pt idx="4">
                  <c:v>-169.41110471236595</c:v>
                </c:pt>
                <c:pt idx="5">
                  <c:v>-160.90202934402276</c:v>
                </c:pt>
                <c:pt idx="6">
                  <c:v>-152.39295397567957</c:v>
                </c:pt>
                <c:pt idx="7">
                  <c:v>-143.88387860733638</c:v>
                </c:pt>
                <c:pt idx="8">
                  <c:v>-135.37480323899322</c:v>
                </c:pt>
                <c:pt idx="9">
                  <c:v>-126.86572787065002</c:v>
                </c:pt>
                <c:pt idx="10">
                  <c:v>-118.35665250230684</c:v>
                </c:pt>
                <c:pt idx="11">
                  <c:v>-109.84757713396365</c:v>
                </c:pt>
                <c:pt idx="12">
                  <c:v>-101.33850176562046</c:v>
                </c:pt>
                <c:pt idx="13">
                  <c:v>-92.829426397277274</c:v>
                </c:pt>
                <c:pt idx="14">
                  <c:v>-84.320351028934098</c:v>
                </c:pt>
                <c:pt idx="15">
                  <c:v>-75.811275660590908</c:v>
                </c:pt>
                <c:pt idx="16">
                  <c:v>-67.302200292247733</c:v>
                </c:pt>
                <c:pt idx="17">
                  <c:v>-58.793124923904543</c:v>
                </c:pt>
                <c:pt idx="18">
                  <c:v>-50.28404955556136</c:v>
                </c:pt>
                <c:pt idx="19">
                  <c:v>-41.774974187218177</c:v>
                </c:pt>
                <c:pt idx="20">
                  <c:v>-33.265898818874994</c:v>
                </c:pt>
                <c:pt idx="21">
                  <c:v>-24.756823450531812</c:v>
                </c:pt>
                <c:pt idx="22">
                  <c:v>-16.247748082188629</c:v>
                </c:pt>
                <c:pt idx="23">
                  <c:v>-7.7386727138454443</c:v>
                </c:pt>
                <c:pt idx="24">
                  <c:v>0.77040265449776779</c:v>
                </c:pt>
                <c:pt idx="25">
                  <c:v>9.2794780228409515</c:v>
                </c:pt>
                <c:pt idx="26">
                  <c:v>17.788553391184134</c:v>
                </c:pt>
                <c:pt idx="27">
                  <c:v>26.297628759527317</c:v>
                </c:pt>
                <c:pt idx="28">
                  <c:v>34.806704127870503</c:v>
                </c:pt>
                <c:pt idx="29">
                  <c:v>43.315779496213686</c:v>
                </c:pt>
                <c:pt idx="30">
                  <c:v>51.824854864556869</c:v>
                </c:pt>
                <c:pt idx="31">
                  <c:v>60.333930232900023</c:v>
                </c:pt>
                <c:pt idx="32">
                  <c:v>68.843005601243235</c:v>
                </c:pt>
                <c:pt idx="33">
                  <c:v>77.352080969586439</c:v>
                </c:pt>
                <c:pt idx="34">
                  <c:v>85.8611563379296</c:v>
                </c:pt>
                <c:pt idx="35">
                  <c:v>94.370231706272804</c:v>
                </c:pt>
                <c:pt idx="36">
                  <c:v>102.87930707461597</c:v>
                </c:pt>
                <c:pt idx="37">
                  <c:v>111.38838244295917</c:v>
                </c:pt>
                <c:pt idx="38">
                  <c:v>119.89745781130233</c:v>
                </c:pt>
                <c:pt idx="39">
                  <c:v>128.40653317964555</c:v>
                </c:pt>
                <c:pt idx="40">
                  <c:v>136.91560854798871</c:v>
                </c:pt>
                <c:pt idx="41">
                  <c:v>145.4246839163319</c:v>
                </c:pt>
                <c:pt idx="42">
                  <c:v>153.93375928467506</c:v>
                </c:pt>
                <c:pt idx="43">
                  <c:v>162.44283465301828</c:v>
                </c:pt>
                <c:pt idx="44">
                  <c:v>170.95191002136144</c:v>
                </c:pt>
                <c:pt idx="45">
                  <c:v>179.46098538970463</c:v>
                </c:pt>
                <c:pt idx="46">
                  <c:v>187.97006075804779</c:v>
                </c:pt>
                <c:pt idx="47">
                  <c:v>196.47913612639101</c:v>
                </c:pt>
                <c:pt idx="48">
                  <c:v>204.98821149473423</c:v>
                </c:pt>
                <c:pt idx="49">
                  <c:v>213.49728686307736</c:v>
                </c:pt>
                <c:pt idx="50">
                  <c:v>222.00636223142058</c:v>
                </c:pt>
                <c:pt idx="51">
                  <c:v>230.51543759976374</c:v>
                </c:pt>
                <c:pt idx="52">
                  <c:v>239.02451296810696</c:v>
                </c:pt>
                <c:pt idx="53">
                  <c:v>247.53358833645009</c:v>
                </c:pt>
                <c:pt idx="54">
                  <c:v>256.04266370479331</c:v>
                </c:pt>
                <c:pt idx="55">
                  <c:v>264.55173907313645</c:v>
                </c:pt>
                <c:pt idx="56">
                  <c:v>273.06081444147969</c:v>
                </c:pt>
                <c:pt idx="57">
                  <c:v>281.56988980982283</c:v>
                </c:pt>
                <c:pt idx="58">
                  <c:v>290.07896517816607</c:v>
                </c:pt>
                <c:pt idx="59">
                  <c:v>298.58804054650921</c:v>
                </c:pt>
                <c:pt idx="60">
                  <c:v>307.0971159148524</c:v>
                </c:pt>
                <c:pt idx="61">
                  <c:v>315.60619128319559</c:v>
                </c:pt>
                <c:pt idx="62">
                  <c:v>324.11526665153872</c:v>
                </c:pt>
                <c:pt idx="63">
                  <c:v>332.62434201988202</c:v>
                </c:pt>
                <c:pt idx="64">
                  <c:v>341.13341738822515</c:v>
                </c:pt>
                <c:pt idx="65">
                  <c:v>349.64249275656829</c:v>
                </c:pt>
                <c:pt idx="66">
                  <c:v>358.15156812491159</c:v>
                </c:pt>
                <c:pt idx="67">
                  <c:v>366.66064349325472</c:v>
                </c:pt>
                <c:pt idx="68">
                  <c:v>375.16971886159786</c:v>
                </c:pt>
                <c:pt idx="69">
                  <c:v>383.67879422994105</c:v>
                </c:pt>
                <c:pt idx="70">
                  <c:v>392.18786959828429</c:v>
                </c:pt>
                <c:pt idx="71">
                  <c:v>400.69694496662748</c:v>
                </c:pt>
                <c:pt idx="72">
                  <c:v>409.20602033497062</c:v>
                </c:pt>
                <c:pt idx="73">
                  <c:v>417.71509570331375</c:v>
                </c:pt>
                <c:pt idx="74">
                  <c:v>426.22417107165705</c:v>
                </c:pt>
                <c:pt idx="75">
                  <c:v>434.73324644000019</c:v>
                </c:pt>
                <c:pt idx="76">
                  <c:v>443.24232180834332</c:v>
                </c:pt>
                <c:pt idx="77">
                  <c:v>451.75139717668651</c:v>
                </c:pt>
                <c:pt idx="78">
                  <c:v>460.26047254502976</c:v>
                </c:pt>
                <c:pt idx="79">
                  <c:v>468.76954791337295</c:v>
                </c:pt>
                <c:pt idx="80">
                  <c:v>477.27862328171608</c:v>
                </c:pt>
                <c:pt idx="81">
                  <c:v>485.78769865005933</c:v>
                </c:pt>
                <c:pt idx="82">
                  <c:v>494.29677401840252</c:v>
                </c:pt>
                <c:pt idx="83">
                  <c:v>502.80584938674565</c:v>
                </c:pt>
                <c:pt idx="84">
                  <c:v>511.31492475508878</c:v>
                </c:pt>
                <c:pt idx="85">
                  <c:v>519.82400012343203</c:v>
                </c:pt>
                <c:pt idx="86">
                  <c:v>528.33307549177528</c:v>
                </c:pt>
                <c:pt idx="87">
                  <c:v>536.84215086011841</c:v>
                </c:pt>
                <c:pt idx="88">
                  <c:v>545.35122622846166</c:v>
                </c:pt>
                <c:pt idx="89">
                  <c:v>553.86030159680479</c:v>
                </c:pt>
                <c:pt idx="90">
                  <c:v>562.36937696514792</c:v>
                </c:pt>
                <c:pt idx="91">
                  <c:v>570.87845233349105</c:v>
                </c:pt>
                <c:pt idx="92">
                  <c:v>579.38752770183419</c:v>
                </c:pt>
                <c:pt idx="93">
                  <c:v>587.89660307017755</c:v>
                </c:pt>
                <c:pt idx="94">
                  <c:v>596.40567843852079</c:v>
                </c:pt>
                <c:pt idx="95">
                  <c:v>604.91475380686393</c:v>
                </c:pt>
                <c:pt idx="96">
                  <c:v>613.42382917520706</c:v>
                </c:pt>
                <c:pt idx="97">
                  <c:v>621.93290454355019</c:v>
                </c:pt>
                <c:pt idx="98">
                  <c:v>630.44197991189333</c:v>
                </c:pt>
                <c:pt idx="99">
                  <c:v>638.95105528023657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908.80770547966517</c:v>
                </c:pt>
                <c:pt idx="1">
                  <c:v>908.80770547966517</c:v>
                </c:pt>
                <c:pt idx="2">
                  <c:v>908.81009845171866</c:v>
                </c:pt>
                <c:pt idx="3">
                  <c:v>908.81887868891977</c:v>
                </c:pt>
                <c:pt idx="4">
                  <c:v>908.83410808685971</c:v>
                </c:pt>
                <c:pt idx="5">
                  <c:v>908.85578664553827</c:v>
                </c:pt>
                <c:pt idx="6">
                  <c:v>908.88391436495579</c:v>
                </c:pt>
                <c:pt idx="7">
                  <c:v>908.9184912451118</c:v>
                </c:pt>
                <c:pt idx="8">
                  <c:v>908.95951728600664</c:v>
                </c:pt>
                <c:pt idx="9">
                  <c:v>909.00699248764022</c:v>
                </c:pt>
                <c:pt idx="10">
                  <c:v>909.06091685001263</c:v>
                </c:pt>
                <c:pt idx="11">
                  <c:v>909.12129037312366</c:v>
                </c:pt>
                <c:pt idx="12">
                  <c:v>909.18811305697341</c:v>
                </c:pt>
                <c:pt idx="13">
                  <c:v>909.261384901562</c:v>
                </c:pt>
                <c:pt idx="14">
                  <c:v>909.34110590688931</c:v>
                </c:pt>
                <c:pt idx="15">
                  <c:v>909.42727607295535</c:v>
                </c:pt>
                <c:pt idx="16">
                  <c:v>909.51989539976012</c:v>
                </c:pt>
                <c:pt idx="17">
                  <c:v>909.61896388730372</c:v>
                </c:pt>
                <c:pt idx="18">
                  <c:v>909.72448153558594</c:v>
                </c:pt>
                <c:pt idx="19">
                  <c:v>909.83644834460699</c:v>
                </c:pt>
                <c:pt idx="20">
                  <c:v>909.95486431436666</c:v>
                </c:pt>
                <c:pt idx="21">
                  <c:v>910.09393501435136</c:v>
                </c:pt>
                <c:pt idx="22">
                  <c:v>910.30567301793553</c:v>
                </c:pt>
                <c:pt idx="23">
                  <c:v>910.59487312434294</c:v>
                </c:pt>
                <c:pt idx="24">
                  <c:v>910.96153533357403</c:v>
                </c:pt>
                <c:pt idx="25">
                  <c:v>911.40565964562859</c:v>
                </c:pt>
                <c:pt idx="26">
                  <c:v>911.9272460605066</c:v>
                </c:pt>
                <c:pt idx="27">
                  <c:v>912.52629457820797</c:v>
                </c:pt>
                <c:pt idx="28">
                  <c:v>913.20280519873302</c:v>
                </c:pt>
                <c:pt idx="29">
                  <c:v>913.95677792208153</c:v>
                </c:pt>
                <c:pt idx="30">
                  <c:v>914.7882127482535</c:v>
                </c:pt>
                <c:pt idx="31">
                  <c:v>915.69710967724893</c:v>
                </c:pt>
                <c:pt idx="32">
                  <c:v>916.68346870906794</c:v>
                </c:pt>
                <c:pt idx="33">
                  <c:v>917.7472898437104</c:v>
                </c:pt>
                <c:pt idx="34">
                  <c:v>918.88857308117633</c:v>
                </c:pt>
                <c:pt idx="35">
                  <c:v>920.10731842146583</c:v>
                </c:pt>
                <c:pt idx="36">
                  <c:v>921.4035258645788</c:v>
                </c:pt>
                <c:pt idx="37">
                  <c:v>922.77719541051533</c:v>
                </c:pt>
                <c:pt idx="38">
                  <c:v>924.22832705927522</c:v>
                </c:pt>
                <c:pt idx="39">
                  <c:v>925.75692081085856</c:v>
                </c:pt>
                <c:pt idx="40">
                  <c:v>927.36297666526559</c:v>
                </c:pt>
                <c:pt idx="41">
                  <c:v>929.04649462249608</c:v>
                </c:pt>
                <c:pt idx="42">
                  <c:v>930.80747468254992</c:v>
                </c:pt>
                <c:pt idx="43">
                  <c:v>932.64591684542734</c:v>
                </c:pt>
                <c:pt idx="44">
                  <c:v>934.56182111112832</c:v>
                </c:pt>
                <c:pt idx="45">
                  <c:v>936.55518747965266</c:v>
                </c:pt>
                <c:pt idx="46">
                  <c:v>938.62601595100057</c:v>
                </c:pt>
                <c:pt idx="47">
                  <c:v>940.77430652517194</c:v>
                </c:pt>
                <c:pt idx="48">
                  <c:v>943.00005920216688</c:v>
                </c:pt>
                <c:pt idx="49">
                  <c:v>945.30327398198528</c:v>
                </c:pt>
                <c:pt idx="50">
                  <c:v>947.68395086462715</c:v>
                </c:pt>
                <c:pt idx="51">
                  <c:v>950.14208985009259</c:v>
                </c:pt>
                <c:pt idx="52">
                  <c:v>952.67769093838149</c:v>
                </c:pt>
                <c:pt idx="53">
                  <c:v>955.29075412949385</c:v>
                </c:pt>
                <c:pt idx="54">
                  <c:v>957.98127942342978</c:v>
                </c:pt>
                <c:pt idx="55">
                  <c:v>960.74926682018906</c:v>
                </c:pt>
                <c:pt idx="56">
                  <c:v>963.59471631977192</c:v>
                </c:pt>
                <c:pt idx="57">
                  <c:v>966.51762792217824</c:v>
                </c:pt>
                <c:pt idx="58">
                  <c:v>969.51800162740813</c:v>
                </c:pt>
                <c:pt idx="59">
                  <c:v>972.59583743546148</c:v>
                </c:pt>
                <c:pt idx="60">
                  <c:v>975.75113534633829</c:v>
                </c:pt>
                <c:pt idx="61">
                  <c:v>978.98389536003856</c:v>
                </c:pt>
                <c:pt idx="62">
                  <c:v>982.29411747656241</c:v>
                </c:pt>
                <c:pt idx="63">
                  <c:v>985.68180169590983</c:v>
                </c:pt>
                <c:pt idx="64">
                  <c:v>989.14694801808059</c:v>
                </c:pt>
                <c:pt idx="65">
                  <c:v>992.68955644307493</c:v>
                </c:pt>
                <c:pt idx="66">
                  <c:v>996.30962697089274</c:v>
                </c:pt>
                <c:pt idx="67">
                  <c:v>1000.007159601534</c:v>
                </c:pt>
                <c:pt idx="68">
                  <c:v>1003.7821543349988</c:v>
                </c:pt>
                <c:pt idx="69">
                  <c:v>1007.6346111712871</c:v>
                </c:pt>
                <c:pt idx="70">
                  <c:v>1011.5645301103989</c:v>
                </c:pt>
                <c:pt idx="71">
                  <c:v>1015.5719111523342</c:v>
                </c:pt>
                <c:pt idx="72">
                  <c:v>1019.6567542970929</c:v>
                </c:pt>
                <c:pt idx="73">
                  <c:v>1023.8190595446752</c:v>
                </c:pt>
                <c:pt idx="74">
                  <c:v>1028.058826895081</c:v>
                </c:pt>
                <c:pt idx="75">
                  <c:v>1032.3760563483104</c:v>
                </c:pt>
                <c:pt idx="76">
                  <c:v>1036.7707479043629</c:v>
                </c:pt>
                <c:pt idx="77">
                  <c:v>1041.2429015632392</c:v>
                </c:pt>
                <c:pt idx="78">
                  <c:v>1045.7925173249391</c:v>
                </c:pt>
                <c:pt idx="79">
                  <c:v>1050.4195951894621</c:v>
                </c:pt>
                <c:pt idx="80">
                  <c:v>1055.124135156809</c:v>
                </c:pt>
                <c:pt idx="81">
                  <c:v>1059.9061372269794</c:v>
                </c:pt>
                <c:pt idx="82">
                  <c:v>1064.7656013999731</c:v>
                </c:pt>
                <c:pt idx="83">
                  <c:v>1069.7025276757902</c:v>
                </c:pt>
                <c:pt idx="84">
                  <c:v>1074.7169160544308</c:v>
                </c:pt>
                <c:pt idx="85">
                  <c:v>1079.8087665358951</c:v>
                </c:pt>
                <c:pt idx="86">
                  <c:v>1084.9780791201829</c:v>
                </c:pt>
                <c:pt idx="87">
                  <c:v>1090.224853807294</c:v>
                </c:pt>
                <c:pt idx="88">
                  <c:v>1095.5490905972288</c:v>
                </c:pt>
                <c:pt idx="89">
                  <c:v>1100.9507894899868</c:v>
                </c:pt>
                <c:pt idx="90">
                  <c:v>1106.4299504855685</c:v>
                </c:pt>
                <c:pt idx="91">
                  <c:v>1111.9865735839737</c:v>
                </c:pt>
                <c:pt idx="92">
                  <c:v>1117.6206587852025</c:v>
                </c:pt>
                <c:pt idx="93">
                  <c:v>1123.3322060892547</c:v>
                </c:pt>
                <c:pt idx="94">
                  <c:v>1129.1212154961304</c:v>
                </c:pt>
                <c:pt idx="95">
                  <c:v>1134.9876870058295</c:v>
                </c:pt>
                <c:pt idx="96">
                  <c:v>1140.9316206183521</c:v>
                </c:pt>
                <c:pt idx="97">
                  <c:v>1146.9530163336983</c:v>
                </c:pt>
                <c:pt idx="98">
                  <c:v>1153.0518741518679</c:v>
                </c:pt>
                <c:pt idx="99">
                  <c:v>1159.228194072861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-186.23582141459764</c:v>
                </c:pt>
                <c:pt idx="1">
                  <c:v>-177.85021754939183</c:v>
                </c:pt>
                <c:pt idx="2">
                  <c:v>-169.46461368418599</c:v>
                </c:pt>
                <c:pt idx="3">
                  <c:v>-161.07900981898018</c:v>
                </c:pt>
                <c:pt idx="4">
                  <c:v>-152.69340595377437</c:v>
                </c:pt>
                <c:pt idx="5">
                  <c:v>-144.30780208856856</c:v>
                </c:pt>
                <c:pt idx="6">
                  <c:v>-135.92219822336273</c:v>
                </c:pt>
                <c:pt idx="7">
                  <c:v>-127.53659435815693</c:v>
                </c:pt>
                <c:pt idx="8">
                  <c:v>-119.15099049295111</c:v>
                </c:pt>
                <c:pt idx="9">
                  <c:v>-110.76538662774529</c:v>
                </c:pt>
                <c:pt idx="10">
                  <c:v>-102.37978276253949</c:v>
                </c:pt>
                <c:pt idx="11">
                  <c:v>-93.994178897333668</c:v>
                </c:pt>
                <c:pt idx="12">
                  <c:v>-85.608575032127845</c:v>
                </c:pt>
                <c:pt idx="13">
                  <c:v>-77.222971166922036</c:v>
                </c:pt>
                <c:pt idx="14">
                  <c:v>-68.837367301716228</c:v>
                </c:pt>
                <c:pt idx="15">
                  <c:v>-60.451763436510419</c:v>
                </c:pt>
                <c:pt idx="16">
                  <c:v>-52.066159571304595</c:v>
                </c:pt>
                <c:pt idx="17">
                  <c:v>-43.680555706098794</c:v>
                </c:pt>
                <c:pt idx="18">
                  <c:v>-35.294951840892956</c:v>
                </c:pt>
                <c:pt idx="19">
                  <c:v>-26.909347975687155</c:v>
                </c:pt>
                <c:pt idx="20">
                  <c:v>-18.523744110481349</c:v>
                </c:pt>
                <c:pt idx="21">
                  <c:v>-10.138140245275514</c:v>
                </c:pt>
                <c:pt idx="22">
                  <c:v>-1.7525363800697087</c:v>
                </c:pt>
                <c:pt idx="23">
                  <c:v>6.6330674851360962</c:v>
                </c:pt>
                <c:pt idx="24">
                  <c:v>15.018671350341931</c:v>
                </c:pt>
                <c:pt idx="25">
                  <c:v>23.404275215547734</c:v>
                </c:pt>
                <c:pt idx="26">
                  <c:v>31.78987908075354</c:v>
                </c:pt>
                <c:pt idx="27">
                  <c:v>40.175482945959345</c:v>
                </c:pt>
                <c:pt idx="28">
                  <c:v>48.561086811165183</c:v>
                </c:pt>
                <c:pt idx="29">
                  <c:v>56.946690676370984</c:v>
                </c:pt>
                <c:pt idx="30">
                  <c:v>65.332294541576786</c:v>
                </c:pt>
                <c:pt idx="31">
                  <c:v>73.717898406782624</c:v>
                </c:pt>
                <c:pt idx="32">
                  <c:v>82.103502271988432</c:v>
                </c:pt>
                <c:pt idx="33">
                  <c:v>90.48910613719427</c:v>
                </c:pt>
                <c:pt idx="34">
                  <c:v>98.874710002400036</c:v>
                </c:pt>
                <c:pt idx="35">
                  <c:v>107.26031386760587</c:v>
                </c:pt>
                <c:pt idx="36">
                  <c:v>115.64591773281171</c:v>
                </c:pt>
                <c:pt idx="37">
                  <c:v>124.03152159801748</c:v>
                </c:pt>
                <c:pt idx="38">
                  <c:v>132.41712546322333</c:v>
                </c:pt>
                <c:pt idx="39">
                  <c:v>140.80272932842917</c:v>
                </c:pt>
                <c:pt idx="40">
                  <c:v>149.18833319363492</c:v>
                </c:pt>
                <c:pt idx="41">
                  <c:v>157.57393705884076</c:v>
                </c:pt>
                <c:pt idx="42">
                  <c:v>165.95954092404659</c:v>
                </c:pt>
                <c:pt idx="43">
                  <c:v>174.34514478925237</c:v>
                </c:pt>
                <c:pt idx="44">
                  <c:v>182.73074865445821</c:v>
                </c:pt>
                <c:pt idx="45">
                  <c:v>191.11635251966405</c:v>
                </c:pt>
                <c:pt idx="46">
                  <c:v>199.50195638486983</c:v>
                </c:pt>
                <c:pt idx="47">
                  <c:v>207.88756025007564</c:v>
                </c:pt>
                <c:pt idx="48">
                  <c:v>216.27316411528147</c:v>
                </c:pt>
                <c:pt idx="49">
                  <c:v>224.65876798048726</c:v>
                </c:pt>
                <c:pt idx="50">
                  <c:v>233.04437184569309</c:v>
                </c:pt>
                <c:pt idx="51">
                  <c:v>241.42997571089887</c:v>
                </c:pt>
                <c:pt idx="52">
                  <c:v>249.81557957610471</c:v>
                </c:pt>
                <c:pt idx="53">
                  <c:v>258.20118344131055</c:v>
                </c:pt>
                <c:pt idx="54">
                  <c:v>266.58678730651633</c:v>
                </c:pt>
                <c:pt idx="55">
                  <c:v>274.97239117172217</c:v>
                </c:pt>
                <c:pt idx="56">
                  <c:v>283.357995036928</c:v>
                </c:pt>
                <c:pt idx="57">
                  <c:v>291.74359890213378</c:v>
                </c:pt>
                <c:pt idx="58">
                  <c:v>300.12920276733962</c:v>
                </c:pt>
                <c:pt idx="59">
                  <c:v>308.5148066325454</c:v>
                </c:pt>
                <c:pt idx="60">
                  <c:v>316.90041049775118</c:v>
                </c:pt>
                <c:pt idx="61">
                  <c:v>325.28601436295702</c:v>
                </c:pt>
                <c:pt idx="62">
                  <c:v>333.67161822816286</c:v>
                </c:pt>
                <c:pt idx="63">
                  <c:v>342.05722209336869</c:v>
                </c:pt>
                <c:pt idx="64">
                  <c:v>350.44282595857447</c:v>
                </c:pt>
                <c:pt idx="65">
                  <c:v>358.82842982378025</c:v>
                </c:pt>
                <c:pt idx="66">
                  <c:v>367.21403368898615</c:v>
                </c:pt>
                <c:pt idx="67">
                  <c:v>375.59963755419193</c:v>
                </c:pt>
                <c:pt idx="68">
                  <c:v>383.98524141939771</c:v>
                </c:pt>
                <c:pt idx="69">
                  <c:v>392.3708452846036</c:v>
                </c:pt>
                <c:pt idx="70">
                  <c:v>400.75644914980938</c:v>
                </c:pt>
                <c:pt idx="71">
                  <c:v>409.14205301501516</c:v>
                </c:pt>
                <c:pt idx="72">
                  <c:v>417.52765688022106</c:v>
                </c:pt>
                <c:pt idx="73">
                  <c:v>425.91326074542684</c:v>
                </c:pt>
                <c:pt idx="74">
                  <c:v>434.29886461063256</c:v>
                </c:pt>
                <c:pt idx="75">
                  <c:v>442.68446847583846</c:v>
                </c:pt>
                <c:pt idx="76">
                  <c:v>451.07007234104424</c:v>
                </c:pt>
                <c:pt idx="77">
                  <c:v>459.45567620625002</c:v>
                </c:pt>
                <c:pt idx="78">
                  <c:v>467.84128007145591</c:v>
                </c:pt>
                <c:pt idx="79">
                  <c:v>476.22688393666169</c:v>
                </c:pt>
                <c:pt idx="80">
                  <c:v>484.61248780186747</c:v>
                </c:pt>
                <c:pt idx="81">
                  <c:v>492.99809166707337</c:v>
                </c:pt>
                <c:pt idx="82">
                  <c:v>501.38369553227915</c:v>
                </c:pt>
                <c:pt idx="83">
                  <c:v>509.76929939748493</c:v>
                </c:pt>
                <c:pt idx="84">
                  <c:v>518.15490326269082</c:v>
                </c:pt>
                <c:pt idx="85">
                  <c:v>526.5405071278966</c:v>
                </c:pt>
                <c:pt idx="86">
                  <c:v>534.92611099310238</c:v>
                </c:pt>
                <c:pt idx="87">
                  <c:v>543.31171485830816</c:v>
                </c:pt>
                <c:pt idx="88">
                  <c:v>551.69731872351394</c:v>
                </c:pt>
                <c:pt idx="89">
                  <c:v>560.08292258871973</c:v>
                </c:pt>
                <c:pt idx="90">
                  <c:v>568.46852645392573</c:v>
                </c:pt>
                <c:pt idx="91">
                  <c:v>576.85413031913151</c:v>
                </c:pt>
                <c:pt idx="92">
                  <c:v>585.23973418433729</c:v>
                </c:pt>
                <c:pt idx="93">
                  <c:v>593.62533804954307</c:v>
                </c:pt>
                <c:pt idx="94">
                  <c:v>602.01094191474886</c:v>
                </c:pt>
                <c:pt idx="95">
                  <c:v>610.39654577995464</c:v>
                </c:pt>
                <c:pt idx="96">
                  <c:v>618.78214964516064</c:v>
                </c:pt>
                <c:pt idx="97">
                  <c:v>627.16775351036642</c:v>
                </c:pt>
                <c:pt idx="98">
                  <c:v>635.5533573755722</c:v>
                </c:pt>
                <c:pt idx="99">
                  <c:v>643.93896124077799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-15.413938771570281</c:v>
                </c:pt>
                <c:pt idx="1">
                  <c:v>-15.413938771570281</c:v>
                </c:pt>
                <c:pt idx="2">
                  <c:v>-15.381040440377424</c:v>
                </c:pt>
                <c:pt idx="3">
                  <c:v>-15.274183902520848</c:v>
                </c:pt>
                <c:pt idx="4">
                  <c:v>-15.093246389766678</c:v>
                </c:pt>
                <c:pt idx="5">
                  <c:v>-14.838227902114916</c:v>
                </c:pt>
                <c:pt idx="6">
                  <c:v>-14.509128439565558</c:v>
                </c:pt>
                <c:pt idx="7">
                  <c:v>-14.105948002118609</c:v>
                </c:pt>
                <c:pt idx="8">
                  <c:v>-13.628686589774064</c:v>
                </c:pt>
                <c:pt idx="9">
                  <c:v>-13.077344202531926</c:v>
                </c:pt>
                <c:pt idx="10">
                  <c:v>-12.451920840392196</c:v>
                </c:pt>
                <c:pt idx="11">
                  <c:v>-11.752416503354871</c:v>
                </c:pt>
                <c:pt idx="12">
                  <c:v>-10.978831191419953</c:v>
                </c:pt>
                <c:pt idx="13">
                  <c:v>-10.131164904587443</c:v>
                </c:pt>
                <c:pt idx="14">
                  <c:v>-9.2094176428573373</c:v>
                </c:pt>
                <c:pt idx="15">
                  <c:v>-8.2135894062296391</c:v>
                </c:pt>
                <c:pt idx="16">
                  <c:v>-7.1436801947043449</c:v>
                </c:pt>
                <c:pt idx="17">
                  <c:v>-5.9996900082814619</c:v>
                </c:pt>
                <c:pt idx="18">
                  <c:v>-4.7816188469609795</c:v>
                </c:pt>
                <c:pt idx="19">
                  <c:v>-3.4822516460233937</c:v>
                </c:pt>
                <c:pt idx="20">
                  <c:v>-2.0299111069242644</c:v>
                </c:pt>
                <c:pt idx="21">
                  <c:v>-0.40620872259646235</c:v>
                </c:pt>
                <c:pt idx="22">
                  <c:v>1.3888555069599993</c:v>
                </c:pt>
                <c:pt idx="23">
                  <c:v>3.3552815817451265</c:v>
                </c:pt>
                <c:pt idx="24">
                  <c:v>5.4930695017589279</c:v>
                </c:pt>
                <c:pt idx="25">
                  <c:v>7.8022192670013863</c:v>
                </c:pt>
                <c:pt idx="26">
                  <c:v>10.282730877472511</c:v>
                </c:pt>
                <c:pt idx="27">
                  <c:v>12.934604333172302</c:v>
                </c:pt>
                <c:pt idx="28">
                  <c:v>15.757839634100767</c:v>
                </c:pt>
                <c:pt idx="29">
                  <c:v>18.752436780257888</c:v>
                </c:pt>
                <c:pt idx="30">
                  <c:v>21.918395771643674</c:v>
                </c:pt>
                <c:pt idx="31">
                  <c:v>25.25571660825814</c:v>
                </c:pt>
                <c:pt idx="32">
                  <c:v>28.76439929010126</c:v>
                </c:pt>
                <c:pt idx="33">
                  <c:v>32.44444381717306</c:v>
                </c:pt>
                <c:pt idx="34">
                  <c:v>36.295850189473498</c:v>
                </c:pt>
                <c:pt idx="35">
                  <c:v>40.318618407002624</c:v>
                </c:pt>
                <c:pt idx="36">
                  <c:v>44.512748469760425</c:v>
                </c:pt>
                <c:pt idx="37">
                  <c:v>48.878240377746856</c:v>
                </c:pt>
                <c:pt idx="38">
                  <c:v>53.415094130961982</c:v>
                </c:pt>
                <c:pt idx="39">
                  <c:v>58.123309729405776</c:v>
                </c:pt>
                <c:pt idx="40">
                  <c:v>63.002887173078207</c:v>
                </c:pt>
                <c:pt idx="41">
                  <c:v>68.053826461979327</c:v>
                </c:pt>
                <c:pt idx="42">
                  <c:v>73.276127596109134</c:v>
                </c:pt>
                <c:pt idx="43">
                  <c:v>78.669790575467559</c:v>
                </c:pt>
                <c:pt idx="44">
                  <c:v>84.234815400054671</c:v>
                </c:pt>
                <c:pt idx="45">
                  <c:v>89.971202069870472</c:v>
                </c:pt>
                <c:pt idx="46">
                  <c:v>95.87895058491489</c:v>
                </c:pt>
                <c:pt idx="47">
                  <c:v>101.95806094518801</c:v>
                </c:pt>
                <c:pt idx="48">
                  <c:v>108.20853315068982</c:v>
                </c:pt>
                <c:pt idx="49">
                  <c:v>114.63036720142023</c:v>
                </c:pt>
                <c:pt idx="50">
                  <c:v>121.22356309737935</c:v>
                </c:pt>
                <c:pt idx="51">
                  <c:v>127.9881208385671</c:v>
                </c:pt>
                <c:pt idx="52">
                  <c:v>134.92404042498356</c:v>
                </c:pt>
                <c:pt idx="53">
                  <c:v>142.03132185662869</c:v>
                </c:pt>
                <c:pt idx="54">
                  <c:v>149.30996513350243</c:v>
                </c:pt>
                <c:pt idx="55">
                  <c:v>156.75997025560488</c:v>
                </c:pt>
                <c:pt idx="56">
                  <c:v>164.381337222936</c:v>
                </c:pt>
                <c:pt idx="57">
                  <c:v>172.17406603549574</c:v>
                </c:pt>
                <c:pt idx="58">
                  <c:v>180.1381566932842</c:v>
                </c:pt>
                <c:pt idx="59">
                  <c:v>188.27360919630132</c:v>
                </c:pt>
                <c:pt idx="60">
                  <c:v>196.58042354454707</c:v>
                </c:pt>
                <c:pt idx="61">
                  <c:v>205.05859973802154</c:v>
                </c:pt>
                <c:pt idx="62">
                  <c:v>213.70813777672461</c:v>
                </c:pt>
                <c:pt idx="63">
                  <c:v>222.5290376606564</c:v>
                </c:pt>
                <c:pt idx="64">
                  <c:v>231.52129938981679</c:v>
                </c:pt>
                <c:pt idx="65">
                  <c:v>240.68492296420587</c:v>
                </c:pt>
                <c:pt idx="66">
                  <c:v>250.01990838382372</c:v>
                </c:pt>
                <c:pt idx="67">
                  <c:v>259.52625564867014</c:v>
                </c:pt>
                <c:pt idx="68">
                  <c:v>269.20396475874514</c:v>
                </c:pt>
                <c:pt idx="69">
                  <c:v>279.05303571404903</c:v>
                </c:pt>
                <c:pt idx="70">
                  <c:v>289.07346851458141</c:v>
                </c:pt>
                <c:pt idx="71">
                  <c:v>299.26526316034244</c:v>
                </c:pt>
                <c:pt idx="72">
                  <c:v>309.62841965133225</c:v>
                </c:pt>
                <c:pt idx="73">
                  <c:v>320.16293798755066</c:v>
                </c:pt>
                <c:pt idx="74">
                  <c:v>330.86881816899773</c:v>
                </c:pt>
                <c:pt idx="75">
                  <c:v>341.74606019567358</c:v>
                </c:pt>
                <c:pt idx="76">
                  <c:v>352.79466406757797</c:v>
                </c:pt>
                <c:pt idx="77">
                  <c:v>364.01462978471096</c:v>
                </c:pt>
                <c:pt idx="78">
                  <c:v>375.40595734707284</c:v>
                </c:pt>
                <c:pt idx="79">
                  <c:v>386.96864675466321</c:v>
                </c:pt>
                <c:pt idx="80">
                  <c:v>398.70269800748224</c:v>
                </c:pt>
                <c:pt idx="81">
                  <c:v>410.60811110553016</c:v>
                </c:pt>
                <c:pt idx="82">
                  <c:v>422.6848860488065</c:v>
                </c:pt>
                <c:pt idx="83">
                  <c:v>434.93302283731151</c:v>
                </c:pt>
                <c:pt idx="84">
                  <c:v>447.35252147104541</c:v>
                </c:pt>
                <c:pt idx="85">
                  <c:v>459.94338195000785</c:v>
                </c:pt>
                <c:pt idx="86">
                  <c:v>472.70560427419883</c:v>
                </c:pt>
                <c:pt idx="87">
                  <c:v>485.63918844361854</c:v>
                </c:pt>
                <c:pt idx="88">
                  <c:v>498.7441344582669</c:v>
                </c:pt>
                <c:pt idx="89">
                  <c:v>512.02044231814386</c:v>
                </c:pt>
                <c:pt idx="90">
                  <c:v>525.46811202325</c:v>
                </c:pt>
                <c:pt idx="91">
                  <c:v>539.08714357358429</c:v>
                </c:pt>
                <c:pt idx="92">
                  <c:v>552.87753696914729</c:v>
                </c:pt>
                <c:pt idx="93">
                  <c:v>566.839292209939</c:v>
                </c:pt>
                <c:pt idx="94">
                  <c:v>580.97240929595944</c:v>
                </c:pt>
                <c:pt idx="95">
                  <c:v>595.27688822720836</c:v>
                </c:pt>
                <c:pt idx="96">
                  <c:v>609.75272900368645</c:v>
                </c:pt>
                <c:pt idx="97">
                  <c:v>624.3999316253927</c:v>
                </c:pt>
                <c:pt idx="98">
                  <c:v>639.21849609232788</c:v>
                </c:pt>
                <c:pt idx="99">
                  <c:v>654.20842240449156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-186.23582141459764</c:v>
                </c:pt>
                <c:pt idx="1">
                  <c:v>-177.85021754939183</c:v>
                </c:pt>
                <c:pt idx="2">
                  <c:v>-169.46461368418599</c:v>
                </c:pt>
                <c:pt idx="3">
                  <c:v>-161.07900981898018</c:v>
                </c:pt>
                <c:pt idx="4">
                  <c:v>-152.69340595377437</c:v>
                </c:pt>
                <c:pt idx="5">
                  <c:v>-144.30780208856856</c:v>
                </c:pt>
                <c:pt idx="6">
                  <c:v>-135.92219822336273</c:v>
                </c:pt>
                <c:pt idx="7">
                  <c:v>-127.53659435815693</c:v>
                </c:pt>
                <c:pt idx="8">
                  <c:v>-119.15099049295111</c:v>
                </c:pt>
                <c:pt idx="9">
                  <c:v>-110.76538662774529</c:v>
                </c:pt>
                <c:pt idx="10">
                  <c:v>-102.37978276253949</c:v>
                </c:pt>
                <c:pt idx="11">
                  <c:v>-93.994178897333668</c:v>
                </c:pt>
                <c:pt idx="12">
                  <c:v>-85.608575032127845</c:v>
                </c:pt>
                <c:pt idx="13">
                  <c:v>-77.222971166922036</c:v>
                </c:pt>
                <c:pt idx="14">
                  <c:v>-68.837367301716228</c:v>
                </c:pt>
                <c:pt idx="15">
                  <c:v>-60.451763436510419</c:v>
                </c:pt>
                <c:pt idx="16">
                  <c:v>-52.066159571304595</c:v>
                </c:pt>
                <c:pt idx="17">
                  <c:v>-43.680555706098794</c:v>
                </c:pt>
                <c:pt idx="18">
                  <c:v>-35.294951840892956</c:v>
                </c:pt>
                <c:pt idx="19">
                  <c:v>-26.909347975687155</c:v>
                </c:pt>
                <c:pt idx="20">
                  <c:v>-18.523744110481349</c:v>
                </c:pt>
                <c:pt idx="21">
                  <c:v>-10.138140245275514</c:v>
                </c:pt>
                <c:pt idx="22">
                  <c:v>-1.7525363800697087</c:v>
                </c:pt>
                <c:pt idx="23">
                  <c:v>6.6330674851360962</c:v>
                </c:pt>
                <c:pt idx="24">
                  <c:v>15.018671350341931</c:v>
                </c:pt>
                <c:pt idx="25">
                  <c:v>23.404275215547734</c:v>
                </c:pt>
                <c:pt idx="26">
                  <c:v>31.78987908075354</c:v>
                </c:pt>
                <c:pt idx="27">
                  <c:v>40.175482945959345</c:v>
                </c:pt>
                <c:pt idx="28">
                  <c:v>48.561086811165183</c:v>
                </c:pt>
                <c:pt idx="29">
                  <c:v>56.946690676370984</c:v>
                </c:pt>
                <c:pt idx="30">
                  <c:v>65.332294541576786</c:v>
                </c:pt>
                <c:pt idx="31">
                  <c:v>73.717898406782624</c:v>
                </c:pt>
                <c:pt idx="32">
                  <c:v>82.103502271988432</c:v>
                </c:pt>
                <c:pt idx="33">
                  <c:v>90.48910613719427</c:v>
                </c:pt>
                <c:pt idx="34">
                  <c:v>98.874710002400036</c:v>
                </c:pt>
                <c:pt idx="35">
                  <c:v>107.26031386760587</c:v>
                </c:pt>
                <c:pt idx="36">
                  <c:v>115.64591773281171</c:v>
                </c:pt>
                <c:pt idx="37">
                  <c:v>124.03152159801748</c:v>
                </c:pt>
                <c:pt idx="38">
                  <c:v>132.41712546322333</c:v>
                </c:pt>
                <c:pt idx="39">
                  <c:v>140.80272932842917</c:v>
                </c:pt>
                <c:pt idx="40">
                  <c:v>149.18833319363492</c:v>
                </c:pt>
                <c:pt idx="41">
                  <c:v>157.57393705884076</c:v>
                </c:pt>
                <c:pt idx="42">
                  <c:v>165.95954092404659</c:v>
                </c:pt>
                <c:pt idx="43">
                  <c:v>174.34514478925237</c:v>
                </c:pt>
                <c:pt idx="44">
                  <c:v>182.73074865445821</c:v>
                </c:pt>
                <c:pt idx="45">
                  <c:v>191.11635251966405</c:v>
                </c:pt>
                <c:pt idx="46">
                  <c:v>199.50195638486983</c:v>
                </c:pt>
                <c:pt idx="47">
                  <c:v>207.88756025007564</c:v>
                </c:pt>
                <c:pt idx="48">
                  <c:v>216.27316411528147</c:v>
                </c:pt>
                <c:pt idx="49">
                  <c:v>224.65876798048726</c:v>
                </c:pt>
                <c:pt idx="50">
                  <c:v>233.04437184569309</c:v>
                </c:pt>
                <c:pt idx="51">
                  <c:v>241.42997571089887</c:v>
                </c:pt>
                <c:pt idx="52">
                  <c:v>249.81557957610471</c:v>
                </c:pt>
                <c:pt idx="53">
                  <c:v>258.20118344131055</c:v>
                </c:pt>
                <c:pt idx="54">
                  <c:v>266.58678730651633</c:v>
                </c:pt>
                <c:pt idx="55">
                  <c:v>274.97239117172217</c:v>
                </c:pt>
                <c:pt idx="56">
                  <c:v>283.357995036928</c:v>
                </c:pt>
                <c:pt idx="57">
                  <c:v>291.74359890213378</c:v>
                </c:pt>
                <c:pt idx="58">
                  <c:v>300.12920276733962</c:v>
                </c:pt>
                <c:pt idx="59">
                  <c:v>308.5148066325454</c:v>
                </c:pt>
                <c:pt idx="60">
                  <c:v>316.90041049775118</c:v>
                </c:pt>
                <c:pt idx="61">
                  <c:v>325.28601436295702</c:v>
                </c:pt>
                <c:pt idx="62">
                  <c:v>333.67161822816286</c:v>
                </c:pt>
                <c:pt idx="63">
                  <c:v>342.05722209336869</c:v>
                </c:pt>
                <c:pt idx="64">
                  <c:v>350.44282595857447</c:v>
                </c:pt>
                <c:pt idx="65">
                  <c:v>358.82842982378025</c:v>
                </c:pt>
                <c:pt idx="66">
                  <c:v>367.21403368898615</c:v>
                </c:pt>
                <c:pt idx="67">
                  <c:v>375.59963755419193</c:v>
                </c:pt>
                <c:pt idx="68">
                  <c:v>383.98524141939771</c:v>
                </c:pt>
                <c:pt idx="69">
                  <c:v>392.3708452846036</c:v>
                </c:pt>
                <c:pt idx="70">
                  <c:v>400.75644914980938</c:v>
                </c:pt>
                <c:pt idx="71">
                  <c:v>409.14205301501516</c:v>
                </c:pt>
                <c:pt idx="72">
                  <c:v>417.52765688022106</c:v>
                </c:pt>
                <c:pt idx="73">
                  <c:v>425.91326074542684</c:v>
                </c:pt>
                <c:pt idx="74">
                  <c:v>434.29886461063256</c:v>
                </c:pt>
                <c:pt idx="75">
                  <c:v>442.68446847583846</c:v>
                </c:pt>
                <c:pt idx="76">
                  <c:v>451.07007234104424</c:v>
                </c:pt>
                <c:pt idx="77">
                  <c:v>459.45567620625002</c:v>
                </c:pt>
                <c:pt idx="78">
                  <c:v>467.84128007145591</c:v>
                </c:pt>
                <c:pt idx="79">
                  <c:v>476.22688393666169</c:v>
                </c:pt>
                <c:pt idx="80">
                  <c:v>484.61248780186747</c:v>
                </c:pt>
                <c:pt idx="81">
                  <c:v>492.99809166707337</c:v>
                </c:pt>
                <c:pt idx="82">
                  <c:v>501.38369553227915</c:v>
                </c:pt>
                <c:pt idx="83">
                  <c:v>509.76929939748493</c:v>
                </c:pt>
                <c:pt idx="84">
                  <c:v>518.15490326269082</c:v>
                </c:pt>
                <c:pt idx="85">
                  <c:v>526.5405071278966</c:v>
                </c:pt>
                <c:pt idx="86">
                  <c:v>534.92611099310238</c:v>
                </c:pt>
                <c:pt idx="87">
                  <c:v>543.31171485830816</c:v>
                </c:pt>
                <c:pt idx="88">
                  <c:v>551.69731872351394</c:v>
                </c:pt>
                <c:pt idx="89">
                  <c:v>560.08292258871973</c:v>
                </c:pt>
                <c:pt idx="90">
                  <c:v>568.46852645392573</c:v>
                </c:pt>
                <c:pt idx="91">
                  <c:v>576.85413031913151</c:v>
                </c:pt>
                <c:pt idx="92">
                  <c:v>585.23973418433729</c:v>
                </c:pt>
                <c:pt idx="93">
                  <c:v>593.62533804954307</c:v>
                </c:pt>
                <c:pt idx="94">
                  <c:v>602.01094191474886</c:v>
                </c:pt>
                <c:pt idx="95">
                  <c:v>610.39654577995464</c:v>
                </c:pt>
                <c:pt idx="96">
                  <c:v>618.78214964516064</c:v>
                </c:pt>
                <c:pt idx="97">
                  <c:v>627.16775351036642</c:v>
                </c:pt>
                <c:pt idx="98">
                  <c:v>635.5533573755722</c:v>
                </c:pt>
                <c:pt idx="99">
                  <c:v>643.93896124077799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909.27307325486152</c:v>
                </c:pt>
                <c:pt idx="1">
                  <c:v>909.27307325486152</c:v>
                </c:pt>
                <c:pt idx="2">
                  <c:v>909.27516771950843</c:v>
                </c:pt>
                <c:pt idx="3">
                  <c:v>909.2819707162779</c:v>
                </c:pt>
                <c:pt idx="4">
                  <c:v>909.29349006118139</c:v>
                </c:pt>
                <c:pt idx="5">
                  <c:v>909.30972575421856</c:v>
                </c:pt>
                <c:pt idx="6">
                  <c:v>909.33067779538965</c:v>
                </c:pt>
                <c:pt idx="7">
                  <c:v>909.35634618469464</c:v>
                </c:pt>
                <c:pt idx="8">
                  <c:v>909.38673092213355</c:v>
                </c:pt>
                <c:pt idx="9">
                  <c:v>909.42183200770614</c:v>
                </c:pt>
                <c:pt idx="10">
                  <c:v>909.46164944141276</c:v>
                </c:pt>
                <c:pt idx="11">
                  <c:v>909.50618322325329</c:v>
                </c:pt>
                <c:pt idx="12">
                  <c:v>909.55543335322761</c:v>
                </c:pt>
                <c:pt idx="13">
                  <c:v>909.60939983133562</c:v>
                </c:pt>
                <c:pt idx="14">
                  <c:v>909.66808265757766</c:v>
                </c:pt>
                <c:pt idx="15">
                  <c:v>909.7314818319536</c:v>
                </c:pt>
                <c:pt idx="16">
                  <c:v>909.79959735446346</c:v>
                </c:pt>
                <c:pt idx="17">
                  <c:v>909.87242922510711</c:v>
                </c:pt>
                <c:pt idx="18">
                  <c:v>909.94997744388445</c:v>
                </c:pt>
                <c:pt idx="19">
                  <c:v>910.03746419833305</c:v>
                </c:pt>
                <c:pt idx="20">
                  <c:v>910.18676875907818</c:v>
                </c:pt>
                <c:pt idx="21">
                  <c:v>910.41120053305758</c:v>
                </c:pt>
                <c:pt idx="22">
                  <c:v>910.71075952027104</c:v>
                </c:pt>
                <c:pt idx="23">
                  <c:v>911.08544572071889</c:v>
                </c:pt>
                <c:pt idx="24">
                  <c:v>911.53525913440114</c:v>
                </c:pt>
                <c:pt idx="25">
                  <c:v>912.06019976131745</c:v>
                </c:pt>
                <c:pt idx="26">
                  <c:v>912.66026760146815</c:v>
                </c:pt>
                <c:pt idx="27">
                  <c:v>913.33546265485313</c:v>
                </c:pt>
                <c:pt idx="28">
                  <c:v>914.08578492147228</c:v>
                </c:pt>
                <c:pt idx="29">
                  <c:v>914.91123440132571</c:v>
                </c:pt>
                <c:pt idx="30">
                  <c:v>915.81181109441343</c:v>
                </c:pt>
                <c:pt idx="31">
                  <c:v>916.78751500073543</c:v>
                </c:pt>
                <c:pt idx="32">
                  <c:v>917.83834612029159</c:v>
                </c:pt>
                <c:pt idx="33">
                  <c:v>918.96430445308215</c:v>
                </c:pt>
                <c:pt idx="34">
                  <c:v>920.16538999910699</c:v>
                </c:pt>
                <c:pt idx="35">
                  <c:v>921.441602758366</c:v>
                </c:pt>
                <c:pt idx="36">
                  <c:v>922.79294273085929</c:v>
                </c:pt>
                <c:pt idx="37">
                  <c:v>924.21940991658687</c:v>
                </c:pt>
                <c:pt idx="38">
                  <c:v>925.72100431554873</c:v>
                </c:pt>
                <c:pt idx="39">
                  <c:v>927.29772592774475</c:v>
                </c:pt>
                <c:pt idx="40">
                  <c:v>928.94957475317517</c:v>
                </c:pt>
                <c:pt idx="41">
                  <c:v>930.67655079183987</c:v>
                </c:pt>
                <c:pt idx="42">
                  <c:v>932.47865404373874</c:v>
                </c:pt>
                <c:pt idx="43">
                  <c:v>934.35588450887178</c:v>
                </c:pt>
                <c:pt idx="44">
                  <c:v>936.30824218723922</c:v>
                </c:pt>
                <c:pt idx="45">
                  <c:v>938.33572707884093</c:v>
                </c:pt>
                <c:pt idx="46">
                  <c:v>940.43833918367682</c:v>
                </c:pt>
                <c:pt idx="47">
                  <c:v>942.6160785017471</c:v>
                </c:pt>
                <c:pt idx="48">
                  <c:v>944.86894503305166</c:v>
                </c:pt>
                <c:pt idx="49">
                  <c:v>947.19693877759039</c:v>
                </c:pt>
                <c:pt idx="50">
                  <c:v>949.6000597353634</c:v>
                </c:pt>
                <c:pt idx="51">
                  <c:v>952.07830790637058</c:v>
                </c:pt>
                <c:pt idx="52">
                  <c:v>954.63168329061216</c:v>
                </c:pt>
                <c:pt idx="53">
                  <c:v>957.2601858880879</c:v>
                </c:pt>
                <c:pt idx="54">
                  <c:v>959.96381569879804</c:v>
                </c:pt>
                <c:pt idx="55">
                  <c:v>962.74257272274235</c:v>
                </c:pt>
                <c:pt idx="56">
                  <c:v>965.59645695992094</c:v>
                </c:pt>
                <c:pt idx="57">
                  <c:v>968.52546841033381</c:v>
                </c:pt>
                <c:pt idx="58">
                  <c:v>971.52960707398097</c:v>
                </c:pt>
                <c:pt idx="59">
                  <c:v>974.60887295086241</c:v>
                </c:pt>
                <c:pt idx="60">
                  <c:v>977.76326604097801</c:v>
                </c:pt>
                <c:pt idx="61">
                  <c:v>980.99278634432801</c:v>
                </c:pt>
                <c:pt idx="62">
                  <c:v>984.29743386091207</c:v>
                </c:pt>
                <c:pt idx="63">
                  <c:v>987.67720859073052</c:v>
                </c:pt>
                <c:pt idx="64">
                  <c:v>991.13211053378336</c:v>
                </c:pt>
                <c:pt idx="65">
                  <c:v>994.66213969007026</c:v>
                </c:pt>
                <c:pt idx="66">
                  <c:v>998.26729605959156</c:v>
                </c:pt>
                <c:pt idx="67">
                  <c:v>1001.947579642347</c:v>
                </c:pt>
                <c:pt idx="68">
                  <c:v>1005.7029904383369</c:v>
                </c:pt>
                <c:pt idx="69">
                  <c:v>1009.5335284475608</c:v>
                </c:pt>
                <c:pt idx="70">
                  <c:v>1013.4391936700191</c:v>
                </c:pt>
                <c:pt idx="71">
                  <c:v>1017.4199861057117</c:v>
                </c:pt>
                <c:pt idx="72">
                  <c:v>1021.4759057546386</c:v>
                </c:pt>
                <c:pt idx="73">
                  <c:v>1025.6069526167996</c:v>
                </c:pt>
                <c:pt idx="74">
                  <c:v>1029.8131266921951</c:v>
                </c:pt>
                <c:pt idx="75">
                  <c:v>1034.0944279808248</c:v>
                </c:pt>
                <c:pt idx="76">
                  <c:v>1038.4508564826886</c:v>
                </c:pt>
                <c:pt idx="77">
                  <c:v>1042.8824121977868</c:v>
                </c:pt>
                <c:pt idx="78">
                  <c:v>1047.3890951261192</c:v>
                </c:pt>
                <c:pt idx="79">
                  <c:v>1051.9709052676858</c:v>
                </c:pt>
                <c:pt idx="80">
                  <c:v>1056.6278426224869</c:v>
                </c:pt>
                <c:pt idx="81">
                  <c:v>1061.3599071905221</c:v>
                </c:pt>
                <c:pt idx="82">
                  <c:v>1066.1670989717916</c:v>
                </c:pt>
                <c:pt idx="83">
                  <c:v>1071.0494179662953</c:v>
                </c:pt>
                <c:pt idx="84">
                  <c:v>1076.0068641740334</c:v>
                </c:pt>
                <c:pt idx="85">
                  <c:v>1081.0394375950057</c:v>
                </c:pt>
                <c:pt idx="86">
                  <c:v>1086.147138229212</c:v>
                </c:pt>
                <c:pt idx="87">
                  <c:v>1091.3299660766529</c:v>
                </c:pt>
                <c:pt idx="88">
                  <c:v>1096.5879211373281</c:v>
                </c:pt>
                <c:pt idx="89">
                  <c:v>1101.9210034112371</c:v>
                </c:pt>
                <c:pt idx="90">
                  <c:v>1107.329212898381</c:v>
                </c:pt>
                <c:pt idx="91">
                  <c:v>1112.8125495987588</c:v>
                </c:pt>
                <c:pt idx="92">
                  <c:v>1118.3710135123708</c:v>
                </c:pt>
                <c:pt idx="93">
                  <c:v>1124.0046046392172</c:v>
                </c:pt>
                <c:pt idx="94">
                  <c:v>1129.713322979298</c:v>
                </c:pt>
                <c:pt idx="95">
                  <c:v>1135.4971685326127</c:v>
                </c:pt>
                <c:pt idx="96">
                  <c:v>1141.3561412991621</c:v>
                </c:pt>
                <c:pt idx="97">
                  <c:v>1147.2902412789454</c:v>
                </c:pt>
                <c:pt idx="98">
                  <c:v>1153.2994684719631</c:v>
                </c:pt>
                <c:pt idx="99">
                  <c:v>1159.3838228782151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265:AMD1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4D2-4D0B-B82D-26EEAEFF85A0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4D2-4D0B-B82D-26EEAEFF85A0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44D2-4D0B-B82D-26EEAEFF85A0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4D2-4D0B-B82D-26EEAEFF8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65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DE2D436-62E2-4DF7-821E-C2BFAB473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103" activePane="bottomLeft" state="frozen"/>
      <selection pane="bottomLeft" activeCell="H128" sqref="H128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6640625" customWidth="1"/>
    <col min="27" max="27" width="14" bestFit="1" customWidth="1"/>
  </cols>
  <sheetData>
    <row r="1" spans="1:27" ht="19.95" customHeight="1">
      <c r="E1" s="162" t="s">
        <v>398</v>
      </c>
      <c r="G1" s="162" t="s">
        <v>397</v>
      </c>
    </row>
    <row r="2" spans="1:27" ht="19.95" customHeight="1">
      <c r="A2" s="157"/>
      <c r="B2" s="156"/>
      <c r="D2" s="157"/>
      <c r="E2" s="160">
        <v>120</v>
      </c>
      <c r="F2" s="155"/>
      <c r="G2" s="163">
        <f ca="1">MAX(MAX(G5:G114),ABS(MIN(G5:G114)))</f>
        <v>5.3922035158799394E-3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4</v>
      </c>
      <c r="AA2" s="159" t="str">
        <f>"PyFlange_Gap"&amp;gap_angle&amp;"deg"</f>
        <v>PyFlange_Gap120deg</v>
      </c>
    </row>
    <row r="4" spans="1:27">
      <c r="B4" s="116" t="s">
        <v>211</v>
      </c>
      <c r="C4" s="116" t="s">
        <v>210</v>
      </c>
      <c r="D4" s="116" t="s">
        <v>209</v>
      </c>
      <c r="E4" s="116" t="s">
        <v>214</v>
      </c>
      <c r="F4" s="116" t="s">
        <v>215</v>
      </c>
      <c r="G4" s="116" t="s">
        <v>218</v>
      </c>
      <c r="H4" s="116" t="s">
        <v>208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195</v>
      </c>
      <c r="E5" s="104"/>
      <c r="F5" s="107" t="s">
        <v>84</v>
      </c>
      <c r="G5" s="104"/>
      <c r="H5" t="s">
        <v>207</v>
      </c>
    </row>
    <row r="6" spans="1:27" ht="15.6">
      <c r="B6" s="106">
        <f>B5+1</f>
        <v>2</v>
      </c>
      <c r="C6" s="105" t="s">
        <v>206</v>
      </c>
      <c r="D6" s="103" t="s">
        <v>126</v>
      </c>
      <c r="E6" s="107" cm="1">
        <f t="array" ref="E6">INDEX(SGRE!L28:O28,case_number)</f>
        <v>47.288017719282664</v>
      </c>
      <c r="F6" s="107" t="s">
        <v>84</v>
      </c>
      <c r="G6" s="107"/>
      <c r="H6" t="s">
        <v>205</v>
      </c>
    </row>
    <row r="7" spans="1:27" ht="15.6">
      <c r="B7" s="106"/>
      <c r="C7" s="105" t="s">
        <v>204</v>
      </c>
      <c r="D7" s="103" t="s">
        <v>203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202</v>
      </c>
    </row>
    <row r="8" spans="1:27" ht="15.6">
      <c r="B8" s="106"/>
      <c r="C8" s="105" t="s">
        <v>201</v>
      </c>
      <c r="D8" s="103" t="s">
        <v>141</v>
      </c>
      <c r="E8" s="107" cm="1">
        <f t="array" ref="E8">INDEX(SGRE!L30:O30,case_number)</f>
        <v>1473.1579837133568</v>
      </c>
      <c r="F8" s="107" cm="1">
        <f t="array" aca="1" ref="F8" ca="1">INDIRECT(sheet_name&amp;"!bolt.As")</f>
        <v>1473.1493426522268</v>
      </c>
      <c r="G8" s="118">
        <f ca="1">(F8-E8)/E8</f>
        <v>-5.8656717239594296E-6</v>
      </c>
    </row>
    <row r="9" spans="1:27" ht="15.6">
      <c r="B9" s="106">
        <f>B6+1</f>
        <v>3</v>
      </c>
      <c r="C9" s="103" t="s">
        <v>195</v>
      </c>
      <c r="D9" s="103" t="s">
        <v>126</v>
      </c>
      <c r="E9" s="107" cm="1">
        <f t="array" ref="E9">INDEX(SGRE!L31:O31,case_number)</f>
        <v>910</v>
      </c>
      <c r="F9" s="107" cm="1">
        <f t="array" aca="1" ref="F9" ca="1">INDIRECT(sheet_name&amp;"!bolt.pretension")</f>
        <v>910</v>
      </c>
      <c r="G9" s="118">
        <f ca="1">(F9-E9)/E9</f>
        <v>0</v>
      </c>
      <c r="H9" t="s">
        <v>200</v>
      </c>
    </row>
    <row r="10" spans="1:27" ht="15.6">
      <c r="B10" s="106"/>
      <c r="C10" s="103" t="s">
        <v>199</v>
      </c>
      <c r="D10" s="103" t="s">
        <v>126</v>
      </c>
      <c r="E10" s="107" cm="1">
        <f t="array" ref="E10">INDEX(SGRE!L32:O32,case_number)</f>
        <v>1020.8984827133563</v>
      </c>
      <c r="F10" s="107" t="s">
        <v>84</v>
      </c>
      <c r="G10" s="107"/>
    </row>
    <row r="11" spans="1:27" ht="15.6">
      <c r="B11" s="106"/>
      <c r="C11" s="103" t="s">
        <v>198</v>
      </c>
      <c r="D11" s="103" t="s">
        <v>121</v>
      </c>
      <c r="E11" s="107" cm="1">
        <f t="array" ref="E11">INDEX(SGRE!L33:O33,case_number)</f>
        <v>0.1</v>
      </c>
      <c r="F11" s="109" t="s">
        <v>84</v>
      </c>
      <c r="G11" s="109"/>
    </row>
    <row r="12" spans="1:27" ht="15.6">
      <c r="B12" s="106"/>
      <c r="C12" s="103" t="s">
        <v>197</v>
      </c>
      <c r="D12" s="103" t="s">
        <v>126</v>
      </c>
      <c r="E12" s="107" cm="1">
        <f t="array" ref="E12">INDEX(SGRE!L34:O34,case_number)</f>
        <v>945.76035438565327</v>
      </c>
      <c r="F12" s="107" t="s">
        <v>84</v>
      </c>
      <c r="G12" s="107"/>
      <c r="H12" t="s">
        <v>196</v>
      </c>
    </row>
    <row r="13" spans="1:27" ht="15.6">
      <c r="B13" s="131">
        <f>B9+1</f>
        <v>4</v>
      </c>
      <c r="C13" s="130" t="s">
        <v>274</v>
      </c>
      <c r="D13" s="130" t="s">
        <v>126</v>
      </c>
      <c r="E13" s="107" cm="1">
        <f t="array" ref="E13">INDEX(SGRE!L35:O35,case_number)</f>
        <v>808.99913815980972</v>
      </c>
      <c r="F13" s="129" t="s">
        <v>84</v>
      </c>
      <c r="G13" s="129"/>
      <c r="H13" s="132" t="s">
        <v>194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193</v>
      </c>
      <c r="D14" s="103" t="s">
        <v>273</v>
      </c>
      <c r="E14" s="107" cm="1">
        <f t="array" ref="E14">INDEX(SGRE!L36:O36,case_number)</f>
        <v>9.1986306542215614E-10</v>
      </c>
      <c r="F14" s="114" cm="1">
        <f t="array" aca="1" ref="F14" ca="1">1/(INDIRECT(sheet_name&amp;"!bolt.axial_stiffness")*1000000)</f>
        <v>9.1986442977285253E-10</v>
      </c>
      <c r="G14" s="118">
        <f ca="1">(F14-E14)/E14</f>
        <v>1.4832106513199276E-6</v>
      </c>
    </row>
    <row r="15" spans="1:27" ht="15.6">
      <c r="B15" s="106"/>
      <c r="C15" s="105" t="s">
        <v>192</v>
      </c>
      <c r="D15" s="103" t="s">
        <v>273</v>
      </c>
      <c r="E15" s="107" cm="1">
        <f t="array" ref="E15">INDEX(SGRE!L37:O37,case_number)</f>
        <v>1.5408931721752862E-10</v>
      </c>
      <c r="F15" s="114" cm="1">
        <f t="array" aca="1" ref="F15" ca="1">1/(INDIRECT(sheet_name&amp;"!clamped_parts_stiffness")*1000000)</f>
        <v>1.5408931721752864E-10</v>
      </c>
      <c r="G15" s="118">
        <f ca="1">(F15-E15)/E15</f>
        <v>1.6775591331740671E-16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191</v>
      </c>
      <c r="D16" s="103" t="s">
        <v>121</v>
      </c>
      <c r="E16" s="109" cm="1">
        <f t="array" ref="E16">INDEX(SGRE!L38:O38,case_number)</f>
        <v>0.14347872373893336</v>
      </c>
      <c r="F16" s="109" cm="1">
        <f t="array" aca="1" ref="F16" ca="1">INDIRECT(sheet_name&amp;"!bolt.axial_stiffness")/(INDIRECT(sheet_name&amp;"!bolt.axial_stiffness")+INDIRECT(sheet_name&amp;"!clamped_parts_stiffness"))</f>
        <v>0.14347854146358197</v>
      </c>
      <c r="G16" s="118">
        <f ca="1">(F16-E16)/E16</f>
        <v>-1.270399865888617E-6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190</v>
      </c>
      <c r="D17" s="103" t="s">
        <v>126</v>
      </c>
      <c r="E17" s="107" cm="1">
        <f t="array" ref="E17">INDEX(SGRE!L39:O39,case_number)</f>
        <v>89.473198506560863</v>
      </c>
      <c r="F17" s="108" t="s">
        <v>84</v>
      </c>
      <c r="G17" s="108"/>
    </row>
    <row r="18" spans="2:8" ht="15.6">
      <c r="B18" s="106"/>
      <c r="C18" s="105" t="s">
        <v>189</v>
      </c>
      <c r="D18" s="103" t="s">
        <v>272</v>
      </c>
      <c r="E18" s="107" cm="1">
        <f t="array" ref="E18">INDEX(SGRE!L40:O40,case_number)</f>
        <v>500</v>
      </c>
      <c r="F18" s="107" t="s">
        <v>84</v>
      </c>
      <c r="G18" s="107"/>
    </row>
    <row r="19" spans="2:8" ht="15.6">
      <c r="B19" s="106">
        <f>B17+1</f>
        <v>6</v>
      </c>
      <c r="C19" s="103" t="s">
        <v>188</v>
      </c>
      <c r="D19" s="103" t="s">
        <v>272</v>
      </c>
      <c r="E19" s="107" cm="1">
        <f t="array" ref="E19">INDEX(SGRE!L41:O41,case_number)</f>
        <v>96.08995471851452</v>
      </c>
      <c r="F19" s="107" t="s">
        <v>84</v>
      </c>
      <c r="G19" s="107"/>
      <c r="H19" t="s">
        <v>187</v>
      </c>
    </row>
    <row r="20" spans="2:8" ht="15.6">
      <c r="B20" s="106">
        <f>B19+1</f>
        <v>7</v>
      </c>
      <c r="C20" s="103" t="s">
        <v>186</v>
      </c>
      <c r="D20" s="103" t="s">
        <v>126</v>
      </c>
      <c r="E20" s="107" cm="1">
        <f t="array" ref="E20">INDEX(SGRE!L42:O42,case_number)</f>
        <v>1126.9658575407177</v>
      </c>
      <c r="F20" s="111" t="s">
        <v>84</v>
      </c>
      <c r="G20" s="111"/>
    </row>
    <row r="21" spans="2:8" ht="15.6">
      <c r="B21" s="106">
        <f>B20+1</f>
        <v>8</v>
      </c>
      <c r="C21" s="103" t="s">
        <v>185</v>
      </c>
      <c r="D21" s="103" t="s">
        <v>181</v>
      </c>
      <c r="E21" s="107" cm="1">
        <f t="array" ref="E21">INDEX(SGRE!L43:O43,case_number)</f>
        <v>65.673222412000001</v>
      </c>
      <c r="F21" s="107" t="s">
        <v>84</v>
      </c>
      <c r="G21" s="107"/>
      <c r="H21" t="s">
        <v>184</v>
      </c>
    </row>
    <row r="22" spans="2:8" ht="15.6">
      <c r="B22" s="106">
        <f>B21+1</f>
        <v>9</v>
      </c>
      <c r="C22" s="103" t="s">
        <v>183</v>
      </c>
      <c r="D22" s="103" t="s">
        <v>181</v>
      </c>
      <c r="E22" s="107" cm="1">
        <f t="array" ref="E22">INDEX(SGRE!L44:O44,case_number)</f>
        <v>65.673222412000001</v>
      </c>
      <c r="F22" s="107" t="s">
        <v>84</v>
      </c>
      <c r="G22" s="107"/>
    </row>
    <row r="23" spans="2:8" ht="15.6">
      <c r="B23" s="106">
        <f>B22+1</f>
        <v>10</v>
      </c>
      <c r="C23" s="103" t="s">
        <v>182</v>
      </c>
      <c r="D23" s="103" t="s">
        <v>181</v>
      </c>
      <c r="E23" s="107" cm="1">
        <f t="array" ref="E23">INDEX(SGRE!L45:O45,case_number)</f>
        <v>-58.57360279409982</v>
      </c>
      <c r="F23" s="107" t="s">
        <v>84</v>
      </c>
      <c r="G23" s="107"/>
    </row>
    <row r="24" spans="2:8" ht="15.6">
      <c r="B24" s="106"/>
      <c r="C24" s="103" t="s">
        <v>180</v>
      </c>
      <c r="D24" s="103" t="s">
        <v>126</v>
      </c>
      <c r="E24" s="107" cm="1">
        <f t="array" ref="E24">INDEX(SGRE!L46:O46,case_number)</f>
        <v>369.02469277749583</v>
      </c>
      <c r="F24" s="111" t="s">
        <v>84</v>
      </c>
      <c r="G24" s="111"/>
    </row>
    <row r="25" spans="2:8" ht="15.6">
      <c r="B25" s="106">
        <f>B23+1</f>
        <v>11</v>
      </c>
      <c r="C25" s="103" t="s">
        <v>179</v>
      </c>
      <c r="D25" s="103" t="s">
        <v>121</v>
      </c>
      <c r="E25" s="104"/>
      <c r="F25" s="110" t="s">
        <v>84</v>
      </c>
      <c r="G25" s="104"/>
      <c r="H25" t="s">
        <v>305</v>
      </c>
    </row>
    <row r="26" spans="2:8" ht="15.6">
      <c r="B26" s="106"/>
      <c r="C26" s="105" t="s">
        <v>178</v>
      </c>
      <c r="D26" s="103" t="s">
        <v>177</v>
      </c>
      <c r="E26" s="107" cm="1">
        <f t="array" ref="E26">INDEX(SGRE!L48:O48,case_number)</f>
        <v>120</v>
      </c>
      <c r="F26" s="110" cm="1">
        <f t="array" aca="1" ref="F26" ca="1">INDIRECT(sheet_name&amp;"!gap.angle")</f>
        <v>119.99999999999999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176</v>
      </c>
      <c r="D27" s="103" t="s">
        <v>170</v>
      </c>
      <c r="E27" s="107" cm="1">
        <f t="array" ref="E27">INDEX(SGRE!L49:O49,case_number)</f>
        <v>4.8171087355043491</v>
      </c>
      <c r="F27" s="109" cm="1">
        <f t="array" aca="1" ref="F27" ca="1">INDIRECT(sheet_name&amp;"!gap.L")/1000</f>
        <v>4.81710873550435</v>
      </c>
      <c r="G27" s="118">
        <f t="shared" ca="1" si="0"/>
        <v>1.8437998153411694E-16</v>
      </c>
      <c r="H27" t="s">
        <v>318</v>
      </c>
    </row>
    <row r="28" spans="2:8">
      <c r="B28" s="106"/>
      <c r="C28" s="103" t="s">
        <v>91</v>
      </c>
      <c r="D28" s="103" t="s">
        <v>170</v>
      </c>
      <c r="E28" s="107" cm="1">
        <f t="array" ref="E28">INDEX(SGRE!L50:O50,case_number)</f>
        <v>4.5999999999999996</v>
      </c>
      <c r="F28" s="109" cm="1">
        <f t="array" aca="1" ref="F28" ca="1">2*INDIRECT(sheet_name&amp;"!Radius")/1000</f>
        <v>4.5999999999999996</v>
      </c>
      <c r="G28" s="118">
        <f t="shared" ca="1" si="0"/>
        <v>0</v>
      </c>
    </row>
    <row r="29" spans="2:8" ht="15.6">
      <c r="B29" s="106"/>
      <c r="C29" s="103" t="s">
        <v>175</v>
      </c>
      <c r="D29" s="103" t="s">
        <v>174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173</v>
      </c>
      <c r="D30" s="103" t="s">
        <v>124</v>
      </c>
      <c r="E30" s="107" cm="1">
        <f t="array" ref="E30">INDEX(SGRE!L52:O52,case_number)</f>
        <v>1.6365395665793787</v>
      </c>
      <c r="F30" s="109" cm="1">
        <f t="array" aca="1" ref="F30" ca="1">INDIRECT(sheet_name&amp;"!gap.k_mean")</f>
        <v>1.6365395665793778</v>
      </c>
      <c r="G30" s="118">
        <f t="shared" ca="1" si="0"/>
        <v>-5.4271735180626019E-16</v>
      </c>
    </row>
    <row r="31" spans="2:8" ht="15.6">
      <c r="B31" s="106">
        <f>B30+1</f>
        <v>13</v>
      </c>
      <c r="C31" s="103" t="s">
        <v>172</v>
      </c>
      <c r="D31" s="103" t="s">
        <v>121</v>
      </c>
      <c r="E31" s="107" cm="1">
        <f t="array" ref="E31">INDEX(SGRE!L53:O53,case_number)</f>
        <v>0.44426272750754409</v>
      </c>
      <c r="F31" s="109" cm="1">
        <f t="array" aca="1" ref="F31" ca="1">INDIRECT(sheet_name&amp;"!gap.COV")</f>
        <v>0.44426272750754386</v>
      </c>
      <c r="G31" s="118">
        <f t="shared" ca="1" si="0"/>
        <v>-4.9980471278959754E-16</v>
      </c>
    </row>
    <row r="32" spans="2:8" ht="15.6">
      <c r="B32" s="106"/>
      <c r="C32" s="103" t="s">
        <v>171</v>
      </c>
      <c r="D32" s="103" t="s">
        <v>170</v>
      </c>
      <c r="E32" s="107" cm="1">
        <f t="array" ref="E32">INDEX(SGRE!L54:O54,case_number)</f>
        <v>1.2042771838760873</v>
      </c>
      <c r="F32" s="109" t="s">
        <v>84</v>
      </c>
      <c r="G32" s="109"/>
    </row>
    <row r="33" spans="2:8" ht="15.6">
      <c r="B33" s="106">
        <f>B31+1</f>
        <v>14</v>
      </c>
      <c r="C33" s="103" t="s">
        <v>169</v>
      </c>
      <c r="D33" s="103" t="s">
        <v>124</v>
      </c>
      <c r="E33" s="107" cm="1">
        <f t="array" ref="E33">INDEX(SGRE!L55:O55,case_number)</f>
        <v>1.5363538916529389</v>
      </c>
      <c r="F33" s="109" t="s">
        <v>84</v>
      </c>
      <c r="G33" s="109"/>
    </row>
    <row r="34" spans="2:8" ht="15.6">
      <c r="B34" s="106">
        <f>B33+1</f>
        <v>15</v>
      </c>
      <c r="C34" s="103" t="s">
        <v>168</v>
      </c>
      <c r="D34" s="103" t="s">
        <v>124</v>
      </c>
      <c r="E34" s="107" cm="1">
        <f t="array" ref="E34">INDEX(SGRE!L56:O56,case_number)</f>
        <v>2.3045308374794082</v>
      </c>
      <c r="F34" s="109" t="s">
        <v>84</v>
      </c>
      <c r="G34" s="109"/>
    </row>
    <row r="35" spans="2:8" ht="15.6">
      <c r="B35" s="106">
        <f>B34+1</f>
        <v>16</v>
      </c>
      <c r="C35" s="105" t="s">
        <v>167</v>
      </c>
      <c r="D35" s="103"/>
      <c r="E35" s="107" cm="1">
        <f t="array" ref="E35">INDEX(SGRE!L57:O57,case_number)</f>
        <v>0.42441366570439232</v>
      </c>
      <c r="F35" s="109" t="s">
        <v>84</v>
      </c>
      <c r="G35" s="109"/>
    </row>
    <row r="36" spans="2:8" ht="15.6">
      <c r="B36" s="106">
        <f>B35+1</f>
        <v>17</v>
      </c>
      <c r="C36" s="105" t="s">
        <v>166</v>
      </c>
      <c r="D36" s="103"/>
      <c r="E36" s="107" cm="1">
        <f t="array" ref="E36">INDEX(SGRE!L58:O58,case_number)</f>
        <v>0.40252051240999598</v>
      </c>
      <c r="F36" s="109" t="s">
        <v>84</v>
      </c>
      <c r="G36" s="109"/>
    </row>
    <row r="37" spans="2:8" ht="15.6">
      <c r="B37" s="106">
        <f>B36+1</f>
        <v>18</v>
      </c>
      <c r="C37" s="103" t="s">
        <v>165</v>
      </c>
      <c r="D37" s="103"/>
      <c r="E37" s="107" cm="1">
        <f t="array" ref="E37">INDEX(SGRE!L59:O59,case_number)</f>
        <v>1.100638551127151</v>
      </c>
      <c r="F37" s="113" t="s">
        <v>84</v>
      </c>
      <c r="G37" s="109"/>
    </row>
    <row r="38" spans="2:8" ht="15.6">
      <c r="B38" s="106">
        <f>B37+1</f>
        <v>19</v>
      </c>
      <c r="C38" s="103" t="s">
        <v>164</v>
      </c>
      <c r="D38" s="103" t="s">
        <v>124</v>
      </c>
      <c r="E38" s="107" cm="1">
        <f t="array" ref="E38">INDEX(SGRE!L60:O60,case_number)</f>
        <v>3.0060257869038067</v>
      </c>
      <c r="F38" s="109" cm="1">
        <f t="array" aca="1" ref="F38" ca="1">INDIRECT(sheet_name&amp;"!gap.h")</f>
        <v>3.0060257869038054</v>
      </c>
      <c r="G38" s="118">
        <f t="shared" ref="G38:G39" ca="1" si="1">(F38-E38)/E38</f>
        <v>-4.4319900226884533E-16</v>
      </c>
    </row>
    <row r="39" spans="2:8" ht="15.6">
      <c r="B39" s="106"/>
      <c r="C39" s="103" t="s">
        <v>163</v>
      </c>
      <c r="D39" s="103" t="s">
        <v>124</v>
      </c>
      <c r="E39" s="107" cm="1">
        <f t="array" ref="E39">INDEX(SGRE!L61:O61,case_number)</f>
        <v>3.0060257869038067</v>
      </c>
      <c r="F39" s="109" cm="1">
        <f t="array" aca="1" ref="F39" ca="1">INDIRECT(sheet_name&amp;"!gap.h")</f>
        <v>3.0060257869038054</v>
      </c>
      <c r="G39" s="118">
        <f t="shared" ca="1" si="1"/>
        <v>-4.4319900226884533E-16</v>
      </c>
      <c r="H39" t="s">
        <v>162</v>
      </c>
    </row>
    <row r="40" spans="2:8">
      <c r="B40" s="106">
        <f>B38+1</f>
        <v>20</v>
      </c>
      <c r="C40" s="103" t="s">
        <v>161</v>
      </c>
      <c r="D40" s="103"/>
      <c r="E40" s="128"/>
      <c r="F40" s="128"/>
      <c r="G40" s="128"/>
      <c r="H40" t="s">
        <v>160</v>
      </c>
    </row>
    <row r="41" spans="2:8">
      <c r="B41" s="106">
        <f>B40+1</f>
        <v>21</v>
      </c>
      <c r="C41" s="112" t="s">
        <v>159</v>
      </c>
      <c r="D41" s="103"/>
      <c r="E41" s="128"/>
      <c r="F41" s="128"/>
      <c r="G41" s="128"/>
      <c r="H41" t="s">
        <v>158</v>
      </c>
    </row>
    <row r="42" spans="2:8" ht="15.6">
      <c r="B42" s="106">
        <f>B41+1</f>
        <v>22</v>
      </c>
      <c r="C42" s="103" t="s">
        <v>157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156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155</v>
      </c>
      <c r="D44" s="103"/>
      <c r="E44" s="128"/>
      <c r="F44" s="128"/>
      <c r="G44" s="128"/>
      <c r="H44" t="s">
        <v>154</v>
      </c>
    </row>
    <row r="45" spans="2:8" ht="15.6">
      <c r="B45" s="106"/>
      <c r="C45" s="103" t="s">
        <v>317</v>
      </c>
      <c r="D45" s="103" t="s">
        <v>126</v>
      </c>
      <c r="E45" s="107" cm="1">
        <f t="array" ref="E45">INDEX(SGRE!L67:O67,case_number)</f>
        <v>-30.138888888888889</v>
      </c>
      <c r="F45" s="109" cm="1">
        <f t="array" aca="1" ref="F45" ca="1">INDIRECT(sheet_name&amp;"!Point1.Z")</f>
        <v>-30.138999999999999</v>
      </c>
      <c r="G45" s="118">
        <f t="shared" ref="G45" ca="1" si="2">(F45-E45)/E45</f>
        <v>3.6866359446656738E-6</v>
      </c>
    </row>
    <row r="46" spans="2:8" ht="15.6">
      <c r="B46" s="106"/>
      <c r="C46" s="103" t="s">
        <v>316</v>
      </c>
      <c r="D46" s="103" t="s">
        <v>126</v>
      </c>
      <c r="E46" s="107" cm="1">
        <f t="array" ref="E46">INDEX(SGRE!L68:O68,case_number)</f>
        <v>910</v>
      </c>
      <c r="F46" s="107" cm="1">
        <f t="array" aca="1" ref="F46" ca="1">INDIRECT(sheet_name&amp;"!Point1.Fs")</f>
        <v>910</v>
      </c>
      <c r="G46" s="118">
        <f t="shared" ref="G46:G50" ca="1" si="3">(F46-E46)/E46</f>
        <v>0</v>
      </c>
    </row>
    <row r="47" spans="2:8" ht="15.6">
      <c r="B47" s="106"/>
      <c r="C47" s="103" t="s">
        <v>315</v>
      </c>
      <c r="D47" s="103" t="s">
        <v>126</v>
      </c>
      <c r="E47" s="107" cm="1">
        <f t="array" ref="E47">INDEX(SGRE!L69:O69,case_number)</f>
        <v>613.2751826323979</v>
      </c>
      <c r="F47" s="108" cm="1">
        <f t="array" aca="1" ref="F47" ca="1">INDIRECT(sheet_name&amp;"!Point2.Z")</f>
        <v>613.27520118169321</v>
      </c>
      <c r="G47" s="118">
        <f t="shared" ca="1" si="3"/>
        <v>3.024628393647412E-8</v>
      </c>
    </row>
    <row r="48" spans="2:8" ht="15.6">
      <c r="B48" s="106"/>
      <c r="C48" s="103" t="s">
        <v>314</v>
      </c>
      <c r="D48" s="103" t="s">
        <v>126</v>
      </c>
      <c r="E48" s="107" cm="1">
        <f t="array" ref="E48">INDEX(SGRE!L70:O70,case_number)</f>
        <v>1137.5</v>
      </c>
      <c r="F48" s="107" cm="1">
        <f t="array" aca="1" ref="F48" ca="1">INDIRECT(sheet_name&amp;"!Point2.Fs")</f>
        <v>1137.5</v>
      </c>
      <c r="G48" s="118">
        <f t="shared" ca="1" si="3"/>
        <v>0</v>
      </c>
    </row>
    <row r="49" spans="2:8" ht="15.6">
      <c r="B49" s="106"/>
      <c r="C49" s="103" t="s">
        <v>313</v>
      </c>
      <c r="D49" s="103" t="s">
        <v>126</v>
      </c>
      <c r="E49" s="107" cm="1">
        <f t="array" ref="E49">INDEX(SGRE!L71:O71,case_number)</f>
        <v>38.285325720355317</v>
      </c>
      <c r="F49" s="107" cm="1">
        <f t="array" aca="1" ref="F49" ca="1">INDIRECT(sheet_name&amp;"!Point3.Z")</f>
        <v>38.285326891212712</v>
      </c>
      <c r="G49" s="118">
        <f t="shared" ca="1" si="3"/>
        <v>3.0582406522824058E-8</v>
      </c>
    </row>
    <row r="50" spans="2:8" ht="15.6">
      <c r="B50" s="106"/>
      <c r="C50" s="103" t="s">
        <v>312</v>
      </c>
      <c r="D50" s="103" t="s">
        <v>126</v>
      </c>
      <c r="E50" s="107" cm="1">
        <f t="array" ref="E50">INDEX(SGRE!L72:O72,case_number)</f>
        <v>913.17671069902224</v>
      </c>
      <c r="F50" s="107" cm="1">
        <f t="array" aca="1" ref="F50" ca="1">INDIRECT(sheet_name&amp;"!Point3.Fs")</f>
        <v>913.17671188050031</v>
      </c>
      <c r="G50" s="118">
        <f t="shared" ca="1" si="3"/>
        <v>1.2938109955215352E-9</v>
      </c>
    </row>
    <row r="51" spans="2:8" ht="15.6">
      <c r="B51" s="106"/>
      <c r="C51" s="103" t="s">
        <v>311</v>
      </c>
      <c r="D51" s="103"/>
      <c r="E51" s="107" cm="1">
        <f t="array" ref="E51">INDEX(SGRE!L73:O73,case_number)</f>
        <v>25313987.394131456</v>
      </c>
      <c r="F51" s="110" t="s">
        <v>84</v>
      </c>
      <c r="G51" s="110"/>
    </row>
    <row r="52" spans="2:8" ht="15.6">
      <c r="B52" s="106"/>
      <c r="C52" s="103" t="s">
        <v>310</v>
      </c>
      <c r="D52" s="103"/>
      <c r="E52" s="107" cm="1">
        <f t="array" ref="E52">INDEX(SGRE!L74:O74,case_number)</f>
        <v>13522.568458699927</v>
      </c>
      <c r="F52" s="111" t="s">
        <v>84</v>
      </c>
      <c r="G52" s="111"/>
    </row>
    <row r="53" spans="2:8" ht="15.6">
      <c r="B53" s="106"/>
      <c r="C53" s="103" t="s">
        <v>309</v>
      </c>
      <c r="D53" s="103"/>
      <c r="E53" s="107" cm="1">
        <f t="array" ref="E53">INDEX(SGRE!L75:O75,case_number)</f>
        <v>1065084.2282044198</v>
      </c>
      <c r="F53" s="111" t="s">
        <v>84</v>
      </c>
      <c r="G53" s="111"/>
    </row>
    <row r="54" spans="2:8" ht="15.6">
      <c r="B54" s="106"/>
      <c r="C54" s="105" t="s">
        <v>308</v>
      </c>
      <c r="D54" s="103"/>
      <c r="E54" s="137" cm="1">
        <f t="array" ref="E54">INDEX(SGRE!L76:O76,case_number)</f>
        <v>5.3419353688367822E-4</v>
      </c>
      <c r="F54" s="137" cm="1">
        <f t="array" aca="1" ref="F54" ca="1">INDIRECT(sheet_name&amp;"!Fs_coeff.tens.2")*1000</f>
        <v>5.3419349928391594E-4</v>
      </c>
      <c r="G54" s="118">
        <f t="shared" ref="G54:G56" ca="1" si="4">(F54-E54)/E54</f>
        <v>-7.0386029937245773E-8</v>
      </c>
    </row>
    <row r="55" spans="2:8" ht="15.6">
      <c r="B55" s="106"/>
      <c r="C55" s="105" t="s">
        <v>307</v>
      </c>
      <c r="D55" s="103"/>
      <c r="E55" s="137" cm="1">
        <f t="array" ref="E55">INDEX(SGRE!L77:O77,case_number)</f>
        <v>4.2074929232655711E-2</v>
      </c>
      <c r="F55" s="137" cm="1">
        <f t="array" aca="1" ref="F55" ca="1">INDIRECT(sheet_name&amp;"!Fs_coeff.tens.1")</f>
        <v>4.2074929350636441E-2</v>
      </c>
      <c r="G55" s="118">
        <f t="shared" ca="1" si="4"/>
        <v>2.8040624548738093E-9</v>
      </c>
    </row>
    <row r="56" spans="2:8" ht="14.4">
      <c r="B56" s="106"/>
      <c r="C56" s="112" t="s">
        <v>306</v>
      </c>
      <c r="D56" s="103"/>
      <c r="E56" s="107" cm="1">
        <f t="array" ref="E56">INDEX(SGRE!L78:O78,case_number)</f>
        <v>910.78285551648889</v>
      </c>
      <c r="F56" s="107" cm="1">
        <f t="array" aca="1" ref="F56" ca="1">INDIRECT(sheet_name&amp;"!Fs_coeff.tens.0")/1000</f>
        <v>910.78285665140675</v>
      </c>
      <c r="G56" s="118">
        <f t="shared" ca="1" si="4"/>
        <v>1.2460904871752099E-9</v>
      </c>
    </row>
    <row r="57" spans="2:8" ht="15.6">
      <c r="B57" s="106">
        <f>B44+1</f>
        <v>25</v>
      </c>
      <c r="C57" s="105" t="s">
        <v>153</v>
      </c>
      <c r="D57" s="103" t="s">
        <v>126</v>
      </c>
      <c r="E57" s="107" cm="1">
        <f t="array" ref="E57">INDEX(SGRE!L79:O79,case_number)</f>
        <v>147.22844876718403</v>
      </c>
      <c r="F57" s="107" cm="1">
        <f t="array" aca="1" ref="F57" ca="1">-INDIRECT(sheet_name&amp;"!DZ_gap")</f>
        <v>147.22844896628345</v>
      </c>
      <c r="G57" s="118">
        <f ca="1">(F57-E57)/E57</f>
        <v>1.3523162100022789E-9</v>
      </c>
    </row>
    <row r="58" spans="2:8" ht="15.6" hidden="1">
      <c r="B58" s="106"/>
      <c r="C58" s="103" t="s">
        <v>142</v>
      </c>
      <c r="D58" s="103" t="s">
        <v>141</v>
      </c>
      <c r="E58" s="107" cm="1">
        <f t="array" ref="E58">INDEX(SGRE!L80:O80,case_number)</f>
        <v>12462.741690022009</v>
      </c>
      <c r="F58" s="111" t="s">
        <v>84</v>
      </c>
      <c r="G58" s="111"/>
    </row>
    <row r="59" spans="2:8" ht="16.8" hidden="1">
      <c r="B59" s="106"/>
      <c r="C59" s="103" t="s">
        <v>140</v>
      </c>
      <c r="D59" s="103" t="s">
        <v>271</v>
      </c>
      <c r="E59" s="107" cm="1">
        <f t="array" ref="E59">INDEX(SGRE!L81:O81,case_number)</f>
        <v>16227528.242216157</v>
      </c>
      <c r="F59" s="114" cm="1">
        <f t="array" aca="1" ref="F59" ca="1">INDIRECT(sheet_name&amp;"!I_tg")</f>
        <v>16227528.242216157</v>
      </c>
      <c r="G59" s="118">
        <f t="shared" ref="G59:G61" ca="1" si="5">(F59-E59)/E59</f>
        <v>0</v>
      </c>
    </row>
    <row r="60" spans="2:8" ht="15.6" hidden="1">
      <c r="B60" s="106"/>
      <c r="C60" s="103" t="s">
        <v>146</v>
      </c>
      <c r="D60" s="103" t="s">
        <v>141</v>
      </c>
      <c r="E60" s="107" cm="1">
        <f t="array" ref="E60">INDEX(SGRE!L82:O82,case_number)</f>
        <v>31875</v>
      </c>
      <c r="F60" s="111" cm="1">
        <f t="array" aca="1" ref="F60" ca="1">INDIRECT(sheet_name&amp;"!flange.A_cf")</f>
        <v>31875.000000000004</v>
      </c>
      <c r="G60" s="118">
        <f t="shared" ca="1" si="5"/>
        <v>1.1413266845777923E-16</v>
      </c>
    </row>
    <row r="61" spans="2:8" ht="16.8" hidden="1">
      <c r="B61" s="106"/>
      <c r="C61" s="103" t="s">
        <v>145</v>
      </c>
      <c r="D61" s="103" t="s">
        <v>271</v>
      </c>
      <c r="E61" s="107" cm="1">
        <f t="array" ref="E61">INDEX(SGRE!L83:O83,case_number)</f>
        <v>41503906.25</v>
      </c>
      <c r="F61" s="114" cm="1">
        <f t="array" aca="1" ref="F61" ca="1">INDIRECT(sheet_name&amp;"!flange.I_cf")</f>
        <v>41503906.249999993</v>
      </c>
      <c r="G61" s="118">
        <f t="shared" ca="1" si="5"/>
        <v>-1.7951516544117647E-16</v>
      </c>
    </row>
    <row r="62" spans="2:8" ht="15.6">
      <c r="B62" s="106">
        <f>B57+1</f>
        <v>26</v>
      </c>
      <c r="C62" s="103" t="s">
        <v>152</v>
      </c>
      <c r="D62" s="103" t="s">
        <v>132</v>
      </c>
      <c r="E62" s="107" cm="1">
        <f t="array" ref="E62">INDEX(SGRE!L84:O84,case_number)</f>
        <v>982.48391618229562</v>
      </c>
      <c r="F62" s="111" cm="1">
        <f t="array" aca="1" ref="F62" ca="1">INDIRECT(sheet_name&amp;"!gap.stiffness")</f>
        <v>982.48391751092493</v>
      </c>
      <c r="G62" s="118">
        <f ca="1">(F62-E62)/E62</f>
        <v>1.3523166006068862E-9</v>
      </c>
    </row>
    <row r="63" spans="2:8" ht="15.6">
      <c r="B63" s="106"/>
      <c r="C63" s="103" t="s">
        <v>353</v>
      </c>
      <c r="D63" s="103" t="s">
        <v>121</v>
      </c>
      <c r="E63" s="109" cm="1">
        <f t="array" ref="E63">INDEX(SGRE!L85:O85,case_number)</f>
        <v>2.5</v>
      </c>
      <c r="F63" s="109" cm="1">
        <f t="array" aca="1" ref="F63" ca="1">INDIRECT(sheet_name&amp;"!gap.stiffness_correction_factor")</f>
        <v>2.5</v>
      </c>
      <c r="G63" s="118"/>
    </row>
    <row r="64" spans="2:8" ht="15.6">
      <c r="B64" s="106">
        <f>B62+1</f>
        <v>27</v>
      </c>
      <c r="C64" s="103" t="s">
        <v>149</v>
      </c>
      <c r="D64" s="103" t="s">
        <v>132</v>
      </c>
      <c r="E64" s="107" cm="1">
        <f t="array" ref="E64">INDEX(SGRE!L86:O86,case_number)</f>
        <v>278.26526530530617</v>
      </c>
      <c r="F64" s="111" t="s">
        <v>84</v>
      </c>
      <c r="G64" s="111" t="s">
        <v>84</v>
      </c>
      <c r="H64" t="s">
        <v>151</v>
      </c>
    </row>
    <row r="65" spans="2:8" ht="15.6">
      <c r="B65" s="106"/>
      <c r="C65" s="103" t="s">
        <v>149</v>
      </c>
      <c r="D65" s="103" t="s">
        <v>132</v>
      </c>
      <c r="E65" s="107" cm="1">
        <f t="array" ref="E65">INDEX(SGRE!L87:O87,case_number)</f>
        <v>386.82104021159915</v>
      </c>
      <c r="F65" s="111" t="s">
        <v>84</v>
      </c>
      <c r="G65" s="118" t="s">
        <v>84</v>
      </c>
      <c r="H65" t="s">
        <v>150</v>
      </c>
    </row>
    <row r="66" spans="2:8" ht="15.6">
      <c r="B66" s="106"/>
      <c r="C66" s="103" t="s">
        <v>149</v>
      </c>
      <c r="D66" s="103" t="s">
        <v>132</v>
      </c>
      <c r="E66" s="107" cm="1">
        <f t="array" ref="E66">INDEX(SGRE!L88:O88,case_number)</f>
        <v>386.82104021159915</v>
      </c>
      <c r="F66" s="111" cm="1">
        <f t="array" aca="1" ref="F66" ca="1">INDIRECT(sheet_name&amp;"!gap.k_shell")</f>
        <v>386.8210402115991</v>
      </c>
      <c r="G66" s="118">
        <f ca="1">(F66-E66)/E66</f>
        <v>-1.4695017321114043E-16</v>
      </c>
      <c r="H66" t="s">
        <v>148</v>
      </c>
    </row>
    <row r="67" spans="2:8" ht="15.6">
      <c r="B67" s="106">
        <f>B64+1</f>
        <v>28</v>
      </c>
      <c r="C67" s="103" t="s">
        <v>147</v>
      </c>
      <c r="D67" s="103" t="s">
        <v>121</v>
      </c>
      <c r="E67" s="109" cm="1">
        <f t="array" ref="E67">INDEX(SGRE!L89:O89,case_number)</f>
        <v>3.3809909737378794</v>
      </c>
      <c r="F67" s="109" cm="1">
        <f t="array" aca="1" ref="F67" ca="1">INDIRECT(sheet_name&amp;"!gap.k_fac")</f>
        <v>3.3809909737378794</v>
      </c>
      <c r="G67" s="118">
        <f ca="1">(F67-E67)/E67</f>
        <v>0</v>
      </c>
    </row>
    <row r="68" spans="2:8" ht="15.6">
      <c r="B68" s="106">
        <f>B67+1</f>
        <v>29</v>
      </c>
      <c r="C68" s="103" t="s">
        <v>144</v>
      </c>
      <c r="D68" s="103" t="s">
        <v>132</v>
      </c>
      <c r="E68" s="107" cm="1">
        <f t="array" ref="E68">INDEX(SGRE!L90:O90,case_number)</f>
        <v>6.1725262613190992</v>
      </c>
      <c r="F68" s="107" cm="1">
        <f t="array" aca="1" ref="F68" ca="1">INDIRECT(sheet_name&amp;"!gap.k_fl")</f>
        <v>6.1725267927708671</v>
      </c>
      <c r="G68" s="118">
        <f ca="1">(F68-E68)/E68</f>
        <v>8.6099555583439335E-8</v>
      </c>
    </row>
    <row r="69" spans="2:8" ht="15.6">
      <c r="B69" s="106">
        <f>B68+1</f>
        <v>30</v>
      </c>
      <c r="C69" s="105" t="s">
        <v>143</v>
      </c>
      <c r="D69" s="103" t="s">
        <v>126</v>
      </c>
      <c r="E69" s="107" cm="1">
        <f t="array" ref="E69">INDEX(SGRE!L91:O91,case_number)</f>
        <v>126.19009220116274</v>
      </c>
      <c r="F69" s="110" t="s">
        <v>84</v>
      </c>
      <c r="G69" s="104"/>
      <c r="H69" t="s">
        <v>304</v>
      </c>
    </row>
    <row r="70" spans="2:8" ht="15.6">
      <c r="B70" s="106">
        <f>B69+1</f>
        <v>31</v>
      </c>
      <c r="C70" s="103" t="s">
        <v>139</v>
      </c>
      <c r="D70" s="103" t="s">
        <v>126</v>
      </c>
      <c r="E70" s="107" cm="1">
        <f t="array" ref="E70">INDEX(SGRE!L92:O92,case_number)</f>
        <v>58.216877642151466</v>
      </c>
      <c r="F70" s="110" t="s">
        <v>84</v>
      </c>
      <c r="G70" s="104"/>
      <c r="H70" t="s">
        <v>304</v>
      </c>
    </row>
    <row r="71" spans="2:8" ht="15.6">
      <c r="B71" s="106"/>
      <c r="C71" s="105" t="s">
        <v>138</v>
      </c>
      <c r="D71" s="103" t="s">
        <v>126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137</v>
      </c>
      <c r="D72" s="103" t="s">
        <v>126</v>
      </c>
      <c r="E72" s="107" cm="1">
        <f t="array" ref="E72">INDEX(SGRE!L94:O94,case_number)</f>
        <v>147.22844876718403</v>
      </c>
      <c r="F72" s="107" cm="1">
        <f t="array" aca="1" ref="F72" ca="1">-INDIRECT(sheet_name&amp;"!DZ_gap_tot")</f>
        <v>147.22844896628345</v>
      </c>
      <c r="G72" s="107"/>
    </row>
    <row r="73" spans="2:8" ht="15.6">
      <c r="B73" s="106">
        <f>B72+1</f>
        <v>33</v>
      </c>
      <c r="C73" s="103" t="s">
        <v>136</v>
      </c>
      <c r="D73" s="103" t="s">
        <v>126</v>
      </c>
      <c r="E73" s="107" cm="1">
        <f t="array" ref="E73">INDEX(SGRE!L95:O95,case_number)</f>
        <v>1137.5</v>
      </c>
      <c r="F73" s="107" t="s">
        <v>84</v>
      </c>
      <c r="G73" s="118"/>
    </row>
    <row r="74" spans="2:8" ht="15.6">
      <c r="B74" s="106">
        <f>B73+1</f>
        <v>34</v>
      </c>
      <c r="C74" s="103" t="s">
        <v>135</v>
      </c>
      <c r="D74" s="103" t="s">
        <v>126</v>
      </c>
      <c r="E74" s="107" cm="1">
        <f t="array" ref="E74">INDEX(SGRE!L96:O96,case_number)</f>
        <v>739.57093344631232</v>
      </c>
      <c r="F74" s="108" cm="1">
        <f t="array" aca="1" ref="F74" ca="1">INDIRECT(sheet_name&amp;"!Z0")</f>
        <v>739.57093344631221</v>
      </c>
      <c r="G74" s="118">
        <f ca="1">(F74-E74)/E74</f>
        <v>-1.5371999166036573E-16</v>
      </c>
      <c r="H74" t="s">
        <v>305</v>
      </c>
    </row>
    <row r="75" spans="2:8" ht="15.6">
      <c r="B75" s="106">
        <f>B74+1</f>
        <v>35</v>
      </c>
      <c r="C75" s="103" t="s">
        <v>135</v>
      </c>
      <c r="D75" s="103" t="s">
        <v>126</v>
      </c>
      <c r="E75" s="107" cm="1">
        <f t="array" ref="E75">INDEX(SGRE!L97:O97,case_number)</f>
        <v>739.57093344631232</v>
      </c>
      <c r="F75" s="110" t="s">
        <v>84</v>
      </c>
      <c r="G75" s="104"/>
      <c r="H75" t="s">
        <v>304</v>
      </c>
    </row>
    <row r="76" spans="2:8" ht="15.6">
      <c r="B76" s="106">
        <f>B75+1</f>
        <v>36</v>
      </c>
      <c r="C76" s="105" t="s">
        <v>134</v>
      </c>
      <c r="D76" s="103" t="s">
        <v>121</v>
      </c>
      <c r="E76" s="107" cm="1">
        <f t="array" ref="E76">INDEX(SGRE!L98:O98,case_number)</f>
        <v>1.0353388428057946</v>
      </c>
      <c r="F76" s="109" cm="1">
        <f t="array" aca="1" ref="F76" ca="1">INDIRECT(sheet_name&amp;"!stiffness_correction_factor")</f>
        <v>1.035338874468948</v>
      </c>
      <c r="G76" s="118">
        <f ca="1">(F76-E76)/E76</f>
        <v>3.0582406573963825E-8</v>
      </c>
    </row>
    <row r="77" spans="2:8">
      <c r="B77" s="106"/>
      <c r="C77" s="105" t="s">
        <v>270</v>
      </c>
      <c r="D77" s="103" t="s">
        <v>124</v>
      </c>
      <c r="E77" s="107" cm="1">
        <f t="array" ref="E77">INDEX(SGRE!L99:O99,case_number)</f>
        <v>99.70193352017607</v>
      </c>
      <c r="F77" s="107" t="s">
        <v>84</v>
      </c>
      <c r="G77" s="118"/>
    </row>
    <row r="78" spans="2:8" ht="15.6">
      <c r="B78" s="106">
        <f>B76+1</f>
        <v>37</v>
      </c>
      <c r="C78" s="103" t="s">
        <v>133</v>
      </c>
      <c r="D78" s="103" t="s">
        <v>132</v>
      </c>
      <c r="E78" s="107" cm="1">
        <f t="array" ref="E78">INDEX(SGRE!L100:O100,case_number)</f>
        <v>27801.813477072803</v>
      </c>
      <c r="F78" s="107" cm="1">
        <f t="array" aca="1" ref="F78" ca="1">INDIRECT(sheet_name&amp;"!k_seg")</f>
        <v>27801.788604620768</v>
      </c>
      <c r="G78" s="118">
        <f ca="1">(F78-E78)/E78</f>
        <v>-8.9463415959208959E-7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124</v>
      </c>
      <c r="E80" s="107" cm="1">
        <f t="array" ref="E80">INDEX(SGRE!L102:O102,case_number)</f>
        <v>0.2668106299486126</v>
      </c>
      <c r="F80" s="109" cm="1">
        <f t="array" aca="1" ref="F80" ca="1">INDIRECT(sheet_name&amp;"!u")</f>
        <v>0.26681086864672976</v>
      </c>
      <c r="G80" s="118">
        <f ca="1">(F80-E80)/E80</f>
        <v>8.9463495965997393E-7</v>
      </c>
      <c r="H80" t="s">
        <v>305</v>
      </c>
    </row>
    <row r="81" spans="2:8">
      <c r="B81" s="106">
        <f>B80+1</f>
        <v>39</v>
      </c>
      <c r="C81" s="103" t="s">
        <v>1</v>
      </c>
      <c r="D81" s="103" t="s">
        <v>124</v>
      </c>
      <c r="E81" s="107" cm="1">
        <f t="array" ref="E81">INDEX(SGRE!L103:O103,case_number)</f>
        <v>0.2668106299486126</v>
      </c>
      <c r="F81" s="104"/>
      <c r="G81" s="104"/>
      <c r="H81" t="s">
        <v>304</v>
      </c>
    </row>
    <row r="82" spans="2:8" ht="15.6">
      <c r="B82" s="106"/>
      <c r="C82" s="103" t="s">
        <v>131</v>
      </c>
      <c r="D82" s="103" t="s">
        <v>126</v>
      </c>
      <c r="E82" s="107" cm="1">
        <f t="array" ref="E82">INDEX(SGRE!L104:O104,case_number)</f>
        <v>4340</v>
      </c>
      <c r="F82" s="110" t="s">
        <v>84</v>
      </c>
      <c r="G82" s="110"/>
    </row>
    <row r="83" spans="2:8" ht="15.6">
      <c r="B83" s="106">
        <f>B81+1</f>
        <v>40</v>
      </c>
      <c r="C83" s="105" t="s">
        <v>130</v>
      </c>
      <c r="D83" s="103" t="s">
        <v>126</v>
      </c>
      <c r="E83" s="107" cm="1">
        <f t="array" ref="E83">INDEX(SGRE!L105:O105,case_number)</f>
        <v>-30.138888888888889</v>
      </c>
      <c r="F83" s="107" cm="1">
        <f t="array" aca="1" ref="F83" ca="1">INDIRECT(sheet_name&amp;"!Z_dw")</f>
        <v>-30.138999999999999</v>
      </c>
      <c r="G83" s="118">
        <f ca="1">(F83-E83)/E83</f>
        <v>3.6866359446656738E-6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129</v>
      </c>
      <c r="D85" s="103" t="s">
        <v>126</v>
      </c>
      <c r="E85" s="107" cm="1">
        <f t="array" ref="E85">INDEX(SGRE!L107:O107,case_number)</f>
        <v>-177.36733765607292</v>
      </c>
      <c r="F85" s="107" cm="1">
        <f t="array" aca="1" ref="F85" ca="1">INDIRECT(sheet_name&amp;"!point4.Z")</f>
        <v>-177.36744896628343</v>
      </c>
      <c r="G85" s="118">
        <f ca="1">(F85-E85)/E85</f>
        <v>6.2756881838938729E-7</v>
      </c>
    </row>
    <row r="86" spans="2:8" ht="15.6">
      <c r="B86" s="106">
        <f t="shared" si="6"/>
        <v>43</v>
      </c>
      <c r="C86" s="105" t="s">
        <v>128</v>
      </c>
      <c r="D86" s="103" t="s">
        <v>121</v>
      </c>
      <c r="E86" s="107" cm="1">
        <f t="array" ref="E86">INDEX(SGRE!L108:O108,case_number)</f>
        <v>9.9283492806988265E-3</v>
      </c>
      <c r="F86" s="113" cm="1">
        <f t="array" aca="1" ref="F86" ca="1">INDIRECT(sheet_name&amp;"!true_force_initial_slope")</f>
        <v>9.8748136008005583E-3</v>
      </c>
      <c r="G86" s="118">
        <f ca="1">(F86-E86)/E86</f>
        <v>-5.3922035158799394E-3</v>
      </c>
    </row>
    <row r="87" spans="2:8" ht="15.6">
      <c r="B87" s="106">
        <f t="shared" si="6"/>
        <v>44</v>
      </c>
      <c r="C87" s="103" t="s">
        <v>127</v>
      </c>
      <c r="D87" s="103" t="s">
        <v>126</v>
      </c>
      <c r="E87" s="107" cm="1">
        <f t="array" ref="E87">INDEX(SGRE!L109:O109,case_number)</f>
        <v>909.26913226829197</v>
      </c>
      <c r="F87" s="108" cm="1">
        <f t="array" aca="1" ref="F87" ca="1">INDIRECT(sheet_name&amp;"!point4.Fs")</f>
        <v>909.27307325486152</v>
      </c>
      <c r="G87" s="118">
        <f ca="1">(F87-E87)/E87</f>
        <v>4.3342355191523996E-6</v>
      </c>
    </row>
    <row r="88" spans="2:8" ht="15.6">
      <c r="B88" s="106">
        <f t="shared" si="6"/>
        <v>45</v>
      </c>
      <c r="C88" s="105" t="s">
        <v>125</v>
      </c>
      <c r="D88" s="103" t="s">
        <v>121</v>
      </c>
      <c r="E88" s="107" cm="1">
        <f t="array" ref="E88">INDEX(SGRE!L110:O110,case_number)</f>
        <v>4.6426703136656047E-2</v>
      </c>
      <c r="F88" s="110" cm="1">
        <f t="array" aca="1" ref="F88" ca="1">INDIRECT(sheet_name&amp;"!polynomial_initial_slope")</f>
        <v>4.6426644218962108E-2</v>
      </c>
      <c r="G88" s="104"/>
      <c r="H88" t="s">
        <v>305</v>
      </c>
    </row>
    <row r="89" spans="2:8" ht="15.6">
      <c r="B89" s="106">
        <f t="shared" si="6"/>
        <v>46</v>
      </c>
      <c r="C89" s="105" t="s">
        <v>125</v>
      </c>
      <c r="D89" s="103" t="s">
        <v>121</v>
      </c>
      <c r="E89" s="107" cm="1">
        <f t="array" ref="E89">INDEX(SGRE!L111:O111,case_number)</f>
        <v>4.6426703136656047E-2</v>
      </c>
      <c r="F89" s="104"/>
      <c r="G89" s="104"/>
      <c r="H89" t="s">
        <v>304</v>
      </c>
    </row>
    <row r="90" spans="2:8" ht="15.6">
      <c r="B90" s="106">
        <f t="shared" si="6"/>
        <v>47</v>
      </c>
      <c r="C90" s="105" t="s">
        <v>123</v>
      </c>
      <c r="D90" s="103" t="s">
        <v>119</v>
      </c>
      <c r="E90" s="128"/>
      <c r="F90" s="128"/>
      <c r="G90" s="128"/>
      <c r="H90" t="s">
        <v>269</v>
      </c>
    </row>
    <row r="91" spans="2:8">
      <c r="B91" s="106">
        <f t="shared" si="6"/>
        <v>48</v>
      </c>
      <c r="C91" s="105" t="s">
        <v>2</v>
      </c>
      <c r="D91" s="103" t="s">
        <v>124</v>
      </c>
      <c r="E91" s="107" cm="1">
        <f t="array" ref="E91">INDEX(SGRE!L113:O113,case_number)</f>
        <v>59.473589288780936</v>
      </c>
      <c r="F91" s="107" cm="1">
        <f t="array" aca="1" ref="F91" ca="1">INDIRECT(sheet_name&amp;"!a_star")</f>
        <v>59.473589288780907</v>
      </c>
      <c r="G91" s="118">
        <f ca="1">(F91-E91)/E91</f>
        <v>-4.7788791243789056E-16</v>
      </c>
    </row>
    <row r="92" spans="2:8" ht="15.6">
      <c r="B92" s="106"/>
      <c r="C92" s="105" t="s">
        <v>267</v>
      </c>
      <c r="D92" s="103" t="s">
        <v>266</v>
      </c>
      <c r="E92" s="107" cm="1">
        <f t="array" ref="E92">INDEX(SGRE!L114:O114,case_number)</f>
        <v>6.7808046075429031E-9</v>
      </c>
      <c r="F92" s="114" cm="1">
        <f t="array" aca="1" ref="F92" ca="1">1/(INDIRECT(sheet_name&amp;"!bolt.bending_stiffness")*1000000)</f>
        <v>6.7808295166753009E-9</v>
      </c>
      <c r="G92" s="118">
        <f ca="1">(F92-E92)/E92</f>
        <v>3.6734773879451269E-6</v>
      </c>
      <c r="H92" t="s">
        <v>268</v>
      </c>
    </row>
    <row r="93" spans="2:8" ht="15.6">
      <c r="B93" s="106">
        <f>B91+1</f>
        <v>49</v>
      </c>
      <c r="C93" s="105" t="s">
        <v>123</v>
      </c>
      <c r="D93" s="103" t="s">
        <v>119</v>
      </c>
      <c r="E93" s="128"/>
      <c r="F93" s="128"/>
      <c r="G93" s="128"/>
      <c r="H93" t="s">
        <v>265</v>
      </c>
    </row>
    <row r="94" spans="2:8" ht="15.6">
      <c r="B94" s="106">
        <f>B93+1</f>
        <v>50</v>
      </c>
      <c r="C94" s="105" t="s">
        <v>264</v>
      </c>
      <c r="D94" s="103" t="s">
        <v>121</v>
      </c>
      <c r="E94" s="128"/>
      <c r="F94" s="128"/>
      <c r="G94" s="128"/>
      <c r="H94" t="s">
        <v>263</v>
      </c>
    </row>
    <row r="95" spans="2:8" ht="15.6">
      <c r="B95" s="106">
        <f>B94+1</f>
        <v>51</v>
      </c>
      <c r="C95" s="105" t="s">
        <v>262</v>
      </c>
      <c r="D95" s="103" t="s">
        <v>121</v>
      </c>
      <c r="E95" s="128"/>
      <c r="F95" s="128"/>
      <c r="G95" s="128"/>
      <c r="H95" t="s">
        <v>263</v>
      </c>
    </row>
    <row r="96" spans="2:8" ht="15.6">
      <c r="B96" s="106">
        <f>B95+1</f>
        <v>52</v>
      </c>
      <c r="C96" s="105" t="s">
        <v>122</v>
      </c>
      <c r="D96" s="103" t="s">
        <v>121</v>
      </c>
      <c r="E96" s="107" cm="1">
        <f t="array" ref="E96">INDEX(SGRE!L118:O118,case_number)</f>
        <v>0.15522906132662276</v>
      </c>
      <c r="F96" s="113" cm="1">
        <f t="array" aca="1" ref="F96" ca="1">INDIRECT(sheet_name&amp;"!true_moment_initial_slope")</f>
        <v>0.15510640811831464</v>
      </c>
      <c r="G96" s="118">
        <f ca="1">(F96-E96)/E96</f>
        <v>-7.9014333566085478E-4</v>
      </c>
      <c r="H96" t="s">
        <v>305</v>
      </c>
    </row>
    <row r="97" spans="2:21" ht="15.6">
      <c r="C97" s="105" t="s">
        <v>122</v>
      </c>
      <c r="D97" s="103" t="s">
        <v>121</v>
      </c>
      <c r="E97" s="107" cm="1">
        <f t="array" ref="E97">INDEX(SGRE!L119:O119,case_number)</f>
        <v>6.6332947139890075E-2</v>
      </c>
      <c r="F97" s="109" t="s">
        <v>84</v>
      </c>
      <c r="G97" s="109" t="s">
        <v>84</v>
      </c>
      <c r="H97" t="s">
        <v>304</v>
      </c>
    </row>
    <row r="98" spans="2:21" ht="15.6">
      <c r="B98" s="106">
        <f>B96+1</f>
        <v>53</v>
      </c>
      <c r="C98" s="105" t="s">
        <v>120</v>
      </c>
      <c r="D98" s="103" t="s">
        <v>119</v>
      </c>
      <c r="E98" s="107" cm="1">
        <f t="array" ref="E98">INDEX(SGRE!L120:O120,case_number)</f>
        <v>-15.422967846551416</v>
      </c>
      <c r="F98" s="108" cm="1">
        <f t="array" aca="1" ref="F98" ca="1">INDIRECT(sheet_name&amp;"!point4.Ms")</f>
        <v>-15.413938771570281</v>
      </c>
      <c r="G98" s="118">
        <f ca="1">(F98-E98)/E98</f>
        <v>-5.8543044833962038E-4</v>
      </c>
      <c r="H98" t="s">
        <v>305</v>
      </c>
    </row>
    <row r="99" spans="2:21" ht="15.6">
      <c r="C99" s="105" t="s">
        <v>120</v>
      </c>
      <c r="D99" s="103" t="s">
        <v>119</v>
      </c>
      <c r="E99" s="107" cm="1">
        <f t="array" ref="E99">INDEX(SGRE!L121:O121,case_number)</f>
        <v>-7.1985391543906019</v>
      </c>
      <c r="F99" s="109" t="s">
        <v>84</v>
      </c>
      <c r="G99" s="109" t="s">
        <v>84</v>
      </c>
      <c r="H99" t="s">
        <v>304</v>
      </c>
    </row>
    <row r="100" spans="2:21" ht="15.6">
      <c r="C100" s="105" t="s">
        <v>352</v>
      </c>
      <c r="D100" s="103" t="s">
        <v>126</v>
      </c>
      <c r="E100" s="107" cm="1">
        <f t="array" ref="E100">INDEX(SGRE!L122:O122,case_number)</f>
        <v>-30.038888888888888</v>
      </c>
      <c r="F100" s="109" t="s">
        <v>84</v>
      </c>
      <c r="G100" s="109" t="s">
        <v>84</v>
      </c>
      <c r="H100" s="142" t="s">
        <v>335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350</v>
      </c>
      <c r="D101" s="103" t="s">
        <v>119</v>
      </c>
      <c r="E101" s="107" cm="1">
        <f t="array" ref="E101">INDEX(SGRE!L123:O123,case_number)</f>
        <v>0</v>
      </c>
      <c r="F101" s="109" t="s">
        <v>84</v>
      </c>
      <c r="G101" s="109" t="s">
        <v>84</v>
      </c>
      <c r="H101" s="142" t="s">
        <v>335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349</v>
      </c>
      <c r="D102" s="103" t="s">
        <v>119</v>
      </c>
      <c r="E102" s="107" cm="1">
        <f t="array" ref="E102">INDEX(SGRE!L124:O124,case_number)</f>
        <v>-14.420868090590684</v>
      </c>
      <c r="F102" s="109" t="s">
        <v>84</v>
      </c>
      <c r="G102" s="109" t="s">
        <v>84</v>
      </c>
      <c r="H102" s="142" t="s">
        <v>335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348</v>
      </c>
      <c r="D103" s="103" t="s">
        <v>119</v>
      </c>
      <c r="E103" s="107" cm="1">
        <f t="array" ref="E103">INDEX(SGRE!L125:O125,case_number)</f>
        <v>-2.3154906996097862</v>
      </c>
      <c r="F103" s="109" t="s">
        <v>84</v>
      </c>
      <c r="G103" s="109" t="s">
        <v>84</v>
      </c>
      <c r="H103" s="142" t="s">
        <v>336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350</v>
      </c>
      <c r="D104" s="103" t="s">
        <v>119</v>
      </c>
      <c r="E104" s="107" cm="1">
        <f t="array" ref="E104">INDEX(SGRE!L126:O126,case_number)</f>
        <v>6.1723595242131884E-4</v>
      </c>
      <c r="F104" s="109" t="s">
        <v>84</v>
      </c>
      <c r="G104" s="109" t="s">
        <v>84</v>
      </c>
      <c r="H104" s="142" t="s">
        <v>336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349</v>
      </c>
      <c r="D105" s="103" t="s">
        <v>119</v>
      </c>
      <c r="E105" s="107" cm="1">
        <f t="array" ref="E105">INDEX(SGRE!L127:O127,case_number)</f>
        <v>-14.373020048999784</v>
      </c>
      <c r="F105" s="109" t="s">
        <v>84</v>
      </c>
      <c r="G105" s="109" t="s">
        <v>84</v>
      </c>
      <c r="H105" s="142" t="s">
        <v>336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348</v>
      </c>
      <c r="D106" s="103" t="s">
        <v>119</v>
      </c>
      <c r="E106" s="107" cm="1">
        <f t="array" ref="E106">INDEX(SGRE!L128:O128,case_number)</f>
        <v>-2.308857404895797</v>
      </c>
      <c r="F106" s="109" t="s">
        <v>84</v>
      </c>
      <c r="G106" s="109" t="s">
        <v>84</v>
      </c>
    </row>
    <row r="107" spans="2:21" ht="16.2">
      <c r="C107" s="147" t="s">
        <v>346</v>
      </c>
      <c r="D107" s="103" t="s">
        <v>119</v>
      </c>
      <c r="E107" s="107" cm="1">
        <f t="array" ref="E107">INDEX(SGRE!L129:O129,case_number)</f>
        <v>-3.9959008951990436</v>
      </c>
      <c r="F107" s="109" t="s">
        <v>84</v>
      </c>
      <c r="G107" s="109" t="s">
        <v>84</v>
      </c>
    </row>
    <row r="108" spans="2:21" ht="16.2">
      <c r="C108" s="147" t="s">
        <v>345</v>
      </c>
      <c r="D108" s="103" t="s">
        <v>119</v>
      </c>
      <c r="E108" s="107" cm="1">
        <f t="array" ref="E108">INDEX(SGRE!L130:O130,case_number)</f>
        <v>600.22835238978121</v>
      </c>
      <c r="F108" s="109" t="s">
        <v>84</v>
      </c>
      <c r="G108" s="109" t="s">
        <v>84</v>
      </c>
    </row>
    <row r="109" spans="2:21" ht="16.2">
      <c r="C109" s="147" t="s">
        <v>344</v>
      </c>
      <c r="D109" s="103" t="s">
        <v>119</v>
      </c>
      <c r="E109" s="107" cm="1">
        <f t="array" ref="E109">INDEX(SGRE!L131:O131,case_number)</f>
        <v>12.321931253534766</v>
      </c>
      <c r="F109" s="109" t="s">
        <v>84</v>
      </c>
      <c r="G109" s="109" t="s">
        <v>84</v>
      </c>
      <c r="H109" t="s">
        <v>337</v>
      </c>
    </row>
    <row r="110" spans="2:21" ht="15.6">
      <c r="C110" s="112" t="s">
        <v>343</v>
      </c>
      <c r="E110" s="107" cm="1">
        <f t="array" ref="E110">INDEX(SGRE!L132:O132,case_number)</f>
        <v>1.2184744614676818E-3</v>
      </c>
      <c r="F110" s="109" t="s">
        <v>84</v>
      </c>
      <c r="G110" s="109" t="s">
        <v>84</v>
      </c>
      <c r="H110" t="s">
        <v>338</v>
      </c>
    </row>
    <row r="111" spans="2:21" ht="15.6">
      <c r="C111" s="112" t="s">
        <v>342</v>
      </c>
      <c r="E111" s="107" cm="1">
        <f t="array" ref="E111">INDEX(SGRE!L133:O133,case_number)</f>
        <v>0.2285541466945604</v>
      </c>
      <c r="F111" s="109" t="s">
        <v>84</v>
      </c>
      <c r="G111" s="109" t="s">
        <v>84</v>
      </c>
      <c r="H111" t="s">
        <v>339</v>
      </c>
    </row>
    <row r="112" spans="2:21" ht="15.6">
      <c r="C112" s="112" t="s">
        <v>341</v>
      </c>
      <c r="E112" s="107" cm="1">
        <f t="array" ref="E112">INDEX(SGRE!L134:O134,case_number)</f>
        <v>1.7856626634338113</v>
      </c>
      <c r="F112" s="109" t="s">
        <v>84</v>
      </c>
      <c r="G112" s="109" t="s">
        <v>84</v>
      </c>
    </row>
    <row r="113" spans="3:8">
      <c r="C113" s="112"/>
    </row>
    <row r="114" spans="3:8">
      <c r="C114" s="103" t="s">
        <v>91</v>
      </c>
      <c r="D114" s="146"/>
      <c r="E114" s="107" cm="1">
        <f t="array" ref="E114">INDEX(SGRE!L136:O136,case_number)</f>
        <v>0.34430849726122487</v>
      </c>
      <c r="F114" s="109" cm="1">
        <f t="array" aca="1" ref="F114" ca="1">INDIRECT(sheet_name&amp;"!fatigue.damage")</f>
        <v>0.34418835879034637</v>
      </c>
      <c r="G114" s="118">
        <f ca="1">(F114-E114)/E114</f>
        <v>-3.4892682531545644E-4</v>
      </c>
      <c r="H114" t="s">
        <v>340</v>
      </c>
    </row>
  </sheetData>
  <conditionalFormatting sqref="G2 G76:G80">
    <cfRule type="cellIs" dxfId="28" priority="2" operator="notBetween">
      <formula>-0.001</formula>
      <formula>0.001</formula>
    </cfRule>
  </conditionalFormatting>
  <conditionalFormatting sqref="G7:G9">
    <cfRule type="cellIs" dxfId="27" priority="20" operator="notBetween">
      <formula>-0.001</formula>
      <formula>0.001</formula>
    </cfRule>
  </conditionalFormatting>
  <conditionalFormatting sqref="G14:G16">
    <cfRule type="cellIs" dxfId="26" priority="19" operator="notBetween">
      <formula>-0.001</formula>
      <formula>0.001</formula>
    </cfRule>
  </conditionalFormatting>
  <conditionalFormatting sqref="G26:G31">
    <cfRule type="cellIs" dxfId="25" priority="18" operator="notBetween">
      <formula>-0.001</formula>
      <formula>0.001</formula>
    </cfRule>
  </conditionalFormatting>
  <conditionalFormatting sqref="G38:G39">
    <cfRule type="cellIs" dxfId="24" priority="17" operator="notBetween">
      <formula>-0.001</formula>
      <formula>0.001</formula>
    </cfRule>
  </conditionalFormatting>
  <conditionalFormatting sqref="G45:G50">
    <cfRule type="cellIs" dxfId="23" priority="6" operator="notBetween">
      <formula>-0.001</formula>
      <formula>0.001</formula>
    </cfRule>
  </conditionalFormatting>
  <conditionalFormatting sqref="G54:G57">
    <cfRule type="cellIs" dxfId="22" priority="5" operator="notBetween">
      <formula>-0.001</formula>
      <formula>0.001</formula>
    </cfRule>
  </conditionalFormatting>
  <conditionalFormatting sqref="G59:G63">
    <cfRule type="cellIs" dxfId="21" priority="15" operator="notBetween">
      <formula>-0.001</formula>
      <formula>0.001</formula>
    </cfRule>
  </conditionalFormatting>
  <conditionalFormatting sqref="G65:G68">
    <cfRule type="cellIs" dxfId="20" priority="14" operator="notBetween">
      <formula>-0.001</formula>
      <formula>0.001</formula>
    </cfRule>
  </conditionalFormatting>
  <conditionalFormatting sqref="G71">
    <cfRule type="cellIs" dxfId="19" priority="3" operator="notBetween">
      <formula>-0.001</formula>
      <formula>0.001</formula>
    </cfRule>
  </conditionalFormatting>
  <conditionalFormatting sqref="G73:G74">
    <cfRule type="cellIs" dxfId="18" priority="13" operator="notBetween">
      <formula>-0.001</formula>
      <formula>0.001</formula>
    </cfRule>
  </conditionalFormatting>
  <conditionalFormatting sqref="G83">
    <cfRule type="cellIs" dxfId="17" priority="11" operator="notBetween">
      <formula>-0.001</formula>
      <formula>0.001</formula>
    </cfRule>
  </conditionalFormatting>
  <conditionalFormatting sqref="G85:G87">
    <cfRule type="cellIs" dxfId="16" priority="10" operator="notBetween">
      <formula>-0.001</formula>
      <formula>0.001</formula>
    </cfRule>
  </conditionalFormatting>
  <conditionalFormatting sqref="G91:G92">
    <cfRule type="cellIs" dxfId="15" priority="9" operator="notBetween">
      <formula>-0.001</formula>
      <formula>0.001</formula>
    </cfRule>
  </conditionalFormatting>
  <conditionalFormatting sqref="G96">
    <cfRule type="cellIs" dxfId="14" priority="8" operator="notBetween">
      <formula>-0.001</formula>
      <formula>0.001</formula>
    </cfRule>
  </conditionalFormatting>
  <conditionalFormatting sqref="G98">
    <cfRule type="cellIs" dxfId="13" priority="7" operator="notBetween">
      <formula>-0.001</formula>
      <formula>0.001</formula>
    </cfRule>
  </conditionalFormatting>
  <conditionalFormatting sqref="G114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2"/>
  <sheetViews>
    <sheetView showGridLines="0" zoomScaleNormal="100" workbookViewId="0">
      <pane ySplit="1" topLeftCell="A153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99</v>
      </c>
      <c r="C13" s="178"/>
      <c r="D13" s="180" t="s">
        <v>100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98</v>
      </c>
      <c r="C14" s="178"/>
      <c r="D14" s="180" t="s">
        <v>102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97</v>
      </c>
      <c r="C15" s="178"/>
      <c r="D15" s="180" t="s">
        <v>101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96</v>
      </c>
      <c r="C16" s="178"/>
      <c r="D16" s="180" t="str">
        <f>Title</f>
        <v>Flange Segment Analytical Model for 30°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95</v>
      </c>
      <c r="C17" s="178"/>
      <c r="D17" s="184" t="s">
        <v>323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94</v>
      </c>
      <c r="C18" s="178"/>
      <c r="D18" s="179"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-294.50226876689396</v>
      </c>
      <c r="P66" s="71">
        <v>-285.13350776165004</v>
      </c>
      <c r="Q66" s="71">
        <v>-275.76474675640611</v>
      </c>
      <c r="R66" s="71">
        <v>-266.39598575116219</v>
      </c>
      <c r="S66" s="71">
        <v>-257.02722474591826</v>
      </c>
      <c r="T66" s="71">
        <v>-247.65846374067434</v>
      </c>
      <c r="U66" s="71">
        <v>-238.28970273543041</v>
      </c>
      <c r="V66" s="71">
        <v>-228.92094173018651</v>
      </c>
      <c r="W66" s="71">
        <v>-219.55218072494259</v>
      </c>
      <c r="X66" s="71">
        <v>-210.18341971969866</v>
      </c>
      <c r="Y66" s="71">
        <v>-200.81465871445474</v>
      </c>
      <c r="Z66" s="71">
        <v>-191.44589770921081</v>
      </c>
      <c r="AA66" s="71">
        <v>-182.07713670396689</v>
      </c>
      <c r="AB66" s="71">
        <v>-172.70837569872296</v>
      </c>
      <c r="AC66" s="71">
        <v>-163.33961469347906</v>
      </c>
      <c r="AD66" s="71">
        <v>-153.97085368823514</v>
      </c>
      <c r="AE66" s="71">
        <v>-144.60209268299121</v>
      </c>
      <c r="AF66" s="71">
        <v>-135.23333167774729</v>
      </c>
      <c r="AG66" s="71">
        <v>-125.86457067250335</v>
      </c>
      <c r="AH66" s="71">
        <v>-116.49580966725945</v>
      </c>
      <c r="AI66" s="71">
        <v>-107.12704866201553</v>
      </c>
      <c r="AJ66" s="71">
        <v>-97.7582876567716</v>
      </c>
      <c r="AK66" s="71">
        <v>-88.389526651527675</v>
      </c>
      <c r="AL66" s="71">
        <v>-79.020765646283749</v>
      </c>
      <c r="AM66" s="71">
        <v>-69.652004641039824</v>
      </c>
      <c r="AN66" s="71">
        <v>-60.283243635795927</v>
      </c>
      <c r="AO66" s="71">
        <v>-50.914482630551994</v>
      </c>
      <c r="AP66" s="71">
        <v>-41.545721625308069</v>
      </c>
      <c r="AQ66" s="71">
        <v>-32.176960620064172</v>
      </c>
      <c r="AR66" s="71">
        <v>-22.808199614820246</v>
      </c>
      <c r="AS66" s="71">
        <v>-13.439438609576319</v>
      </c>
      <c r="AT66" s="71">
        <v>-4.070677604332392</v>
      </c>
      <c r="AU66" s="71">
        <v>5.2980834009115352</v>
      </c>
      <c r="AV66" s="71">
        <v>14.666844406155462</v>
      </c>
      <c r="AW66" s="71">
        <v>24.035605411399388</v>
      </c>
      <c r="AX66" s="71">
        <v>33.404366416643313</v>
      </c>
      <c r="AY66" s="71">
        <v>42.773127421887246</v>
      </c>
      <c r="AZ66" s="71">
        <v>52.141888427131171</v>
      </c>
      <c r="BA66" s="71">
        <v>61.51064943237504</v>
      </c>
      <c r="BB66" s="71">
        <v>70.879410437618958</v>
      </c>
      <c r="BC66" s="71">
        <v>80.248171442862898</v>
      </c>
      <c r="BD66" s="71">
        <v>89.616932448106823</v>
      </c>
      <c r="BE66" s="71">
        <v>98.985693453350748</v>
      </c>
      <c r="BF66" s="71">
        <v>108.35445445859467</v>
      </c>
      <c r="BG66" s="71">
        <v>117.7232154638386</v>
      </c>
      <c r="BH66" s="71">
        <v>127.09197646908252</v>
      </c>
      <c r="BI66" s="71">
        <v>136.46073747432646</v>
      </c>
      <c r="BJ66" s="71">
        <v>145.82949847957039</v>
      </c>
      <c r="BK66" s="71">
        <v>155.19825948481432</v>
      </c>
      <c r="BL66" s="71">
        <v>164.56702049005818</v>
      </c>
      <c r="BM66" s="71">
        <v>173.93578149530211</v>
      </c>
      <c r="BN66" s="71">
        <v>183.30454250054603</v>
      </c>
      <c r="BO66" s="71">
        <v>192.67330350578996</v>
      </c>
      <c r="BP66" s="71">
        <v>202.04206451103389</v>
      </c>
      <c r="BQ66" s="71">
        <v>211.41082551627781</v>
      </c>
      <c r="BR66" s="71">
        <v>220.77958652152174</v>
      </c>
      <c r="BS66" s="71">
        <v>230.1483475267656</v>
      </c>
      <c r="BT66" s="71">
        <v>239.51710853200959</v>
      </c>
      <c r="BU66" s="71">
        <v>248.88586953725346</v>
      </c>
      <c r="BV66" s="71">
        <v>258.25463054249747</v>
      </c>
      <c r="BW66" s="71">
        <v>267.62339154774133</v>
      </c>
      <c r="BX66" s="71">
        <v>276.99215255298532</v>
      </c>
      <c r="BY66" s="71">
        <v>286.36091355822919</v>
      </c>
      <c r="BZ66" s="71">
        <v>295.72967456347317</v>
      </c>
      <c r="CA66" s="71">
        <v>305.09843556871704</v>
      </c>
      <c r="CB66" s="71">
        <v>314.4671965739609</v>
      </c>
      <c r="CC66" s="71">
        <v>323.83595757920489</v>
      </c>
      <c r="CD66" s="71">
        <v>333.20471858444876</v>
      </c>
      <c r="CE66" s="71">
        <v>342.57347958969274</v>
      </c>
      <c r="CF66" s="71">
        <v>351.94224059493661</v>
      </c>
      <c r="CG66" s="71">
        <v>361.31100160018059</v>
      </c>
      <c r="CH66" s="71">
        <v>370.67976260542446</v>
      </c>
      <c r="CI66" s="71">
        <v>380.04852361066844</v>
      </c>
      <c r="CJ66" s="71">
        <v>389.41728461591231</v>
      </c>
      <c r="CK66" s="71">
        <v>398.78604562115629</v>
      </c>
      <c r="CL66" s="71">
        <v>408.15480662640016</v>
      </c>
      <c r="CM66" s="71">
        <v>417.52356763164403</v>
      </c>
      <c r="CN66" s="71">
        <v>426.89232863688801</v>
      </c>
      <c r="CO66" s="71">
        <v>436.26108964213188</v>
      </c>
      <c r="CP66" s="71">
        <v>445.62985064737586</v>
      </c>
      <c r="CQ66" s="71">
        <v>454.99861165261973</v>
      </c>
      <c r="CR66" s="71">
        <v>464.36737265786371</v>
      </c>
      <c r="CS66" s="71">
        <v>473.73613366310758</v>
      </c>
      <c r="CT66" s="71">
        <v>483.10489466835156</v>
      </c>
      <c r="CU66" s="71">
        <v>492.47365567359543</v>
      </c>
      <c r="CV66" s="71">
        <v>501.84241667883941</v>
      </c>
      <c r="CW66" s="71">
        <v>511.21117768408328</v>
      </c>
      <c r="CX66" s="71">
        <v>520.57993868932715</v>
      </c>
      <c r="CY66" s="71">
        <v>529.94869969457113</v>
      </c>
      <c r="CZ66" s="71">
        <v>539.31746069981511</v>
      </c>
      <c r="DA66" s="71">
        <v>548.6862217050591</v>
      </c>
      <c r="DB66" s="71">
        <v>558.05498271030285</v>
      </c>
      <c r="DC66" s="71">
        <v>567.42374371554683</v>
      </c>
      <c r="DD66" s="71">
        <v>576.79250472079082</v>
      </c>
      <c r="DE66" s="71">
        <v>586.1612657260348</v>
      </c>
      <c r="DF66" s="71">
        <v>595.53002673127855</v>
      </c>
      <c r="DG66" s="71">
        <v>604.89878773652254</v>
      </c>
      <c r="DH66" s="71">
        <v>614.26754874176652</v>
      </c>
      <c r="DI66" s="71">
        <v>623.63630974701027</v>
      </c>
      <c r="DJ66" s="71">
        <v>633.00507075225426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904.88778406708673</v>
      </c>
      <c r="P67" s="71">
        <v>904.88778406708673</v>
      </c>
      <c r="Q67" s="71">
        <v>904.88959648028117</v>
      </c>
      <c r="R67" s="71">
        <v>904.90396122280958</v>
      </c>
      <c r="S67" s="71">
        <v>904.9326460393039</v>
      </c>
      <c r="T67" s="71">
        <v>904.97565092976356</v>
      </c>
      <c r="U67" s="71">
        <v>905.03297589418901</v>
      </c>
      <c r="V67" s="71">
        <v>905.10462093258002</v>
      </c>
      <c r="W67" s="71">
        <v>905.19058604493659</v>
      </c>
      <c r="X67" s="71">
        <v>905.29087123125873</v>
      </c>
      <c r="Y67" s="71">
        <v>905.40547649154655</v>
      </c>
      <c r="Z67" s="71">
        <v>905.53440182580005</v>
      </c>
      <c r="AA67" s="71">
        <v>905.6776472340191</v>
      </c>
      <c r="AB67" s="71">
        <v>905.83521271620384</v>
      </c>
      <c r="AC67" s="71">
        <v>906.00709827235414</v>
      </c>
      <c r="AD67" s="71">
        <v>906.19330390247001</v>
      </c>
      <c r="AE67" s="71">
        <v>906.39382960655166</v>
      </c>
      <c r="AF67" s="71">
        <v>906.60867538459877</v>
      </c>
      <c r="AG67" s="71">
        <v>906.83784123661155</v>
      </c>
      <c r="AH67" s="71">
        <v>907.08132716259001</v>
      </c>
      <c r="AI67" s="71">
        <v>907.33913316253393</v>
      </c>
      <c r="AJ67" s="71">
        <v>907.61125923644352</v>
      </c>
      <c r="AK67" s="71">
        <v>907.89770538431878</v>
      </c>
      <c r="AL67" s="71">
        <v>908.19847160615973</v>
      </c>
      <c r="AM67" s="71">
        <v>908.51355790196612</v>
      </c>
      <c r="AN67" s="71">
        <v>908.84296427173831</v>
      </c>
      <c r="AO67" s="71">
        <v>909.18669071547606</v>
      </c>
      <c r="AP67" s="71">
        <v>909.54473723317938</v>
      </c>
      <c r="AQ67" s="71">
        <v>909.91710382484825</v>
      </c>
      <c r="AR67" s="71">
        <v>910.32645155840919</v>
      </c>
      <c r="AS67" s="71">
        <v>910.82239192072018</v>
      </c>
      <c r="AT67" s="71">
        <v>911.40667624651189</v>
      </c>
      <c r="AU67" s="71">
        <v>912.07930453578422</v>
      </c>
      <c r="AV67" s="71">
        <v>912.84027678853693</v>
      </c>
      <c r="AW67" s="71">
        <v>913.68959300477036</v>
      </c>
      <c r="AX67" s="71">
        <v>914.62725318448418</v>
      </c>
      <c r="AY67" s="71">
        <v>915.65325732767872</v>
      </c>
      <c r="AZ67" s="71">
        <v>916.76760543435364</v>
      </c>
      <c r="BA67" s="71">
        <v>917.97029750450929</v>
      </c>
      <c r="BB67" s="71">
        <v>919.26133353814555</v>
      </c>
      <c r="BC67" s="71">
        <v>920.64071353526219</v>
      </c>
      <c r="BD67" s="71">
        <v>922.10843749585945</v>
      </c>
      <c r="BE67" s="71">
        <v>923.66450541993731</v>
      </c>
      <c r="BF67" s="71">
        <v>925.30891730749568</v>
      </c>
      <c r="BG67" s="71">
        <v>927.04167315853465</v>
      </c>
      <c r="BH67" s="71">
        <v>928.86277297305423</v>
      </c>
      <c r="BI67" s="71">
        <v>930.77221675105432</v>
      </c>
      <c r="BJ67" s="71">
        <v>932.77000449253489</v>
      </c>
      <c r="BK67" s="71">
        <v>934.85613619749608</v>
      </c>
      <c r="BL67" s="71">
        <v>937.03061186593777</v>
      </c>
      <c r="BM67" s="71">
        <v>939.29343149786018</v>
      </c>
      <c r="BN67" s="71">
        <v>941.64459509326309</v>
      </c>
      <c r="BO67" s="71">
        <v>944.0841026521465</v>
      </c>
      <c r="BP67" s="71">
        <v>946.61195417451052</v>
      </c>
      <c r="BQ67" s="71">
        <v>949.22814966035503</v>
      </c>
      <c r="BR67" s="71">
        <v>951.93268910968027</v>
      </c>
      <c r="BS67" s="71">
        <v>954.72557252248589</v>
      </c>
      <c r="BT67" s="71">
        <v>957.60679989877212</v>
      </c>
      <c r="BU67" s="71">
        <v>960.57637123853885</v>
      </c>
      <c r="BV67" s="71">
        <v>963.63428654178631</v>
      </c>
      <c r="BW67" s="71">
        <v>966.78054580851426</v>
      </c>
      <c r="BX67" s="71">
        <v>970.01514903872271</v>
      </c>
      <c r="BY67" s="71">
        <v>973.33809623241166</v>
      </c>
      <c r="BZ67" s="71">
        <v>976.74938738958144</v>
      </c>
      <c r="CA67" s="71">
        <v>980.2490225102315</v>
      </c>
      <c r="CB67" s="71">
        <v>983.83700159436216</v>
      </c>
      <c r="CC67" s="71">
        <v>987.51332464197344</v>
      </c>
      <c r="CD67" s="71">
        <v>991.27799165306533</v>
      </c>
      <c r="CE67" s="71">
        <v>995.13100262763783</v>
      </c>
      <c r="CF67" s="71">
        <v>999.07235756569071</v>
      </c>
      <c r="CG67" s="71">
        <v>1003.1020564672243</v>
      </c>
      <c r="CH67" s="71">
        <v>1007.2200993322383</v>
      </c>
      <c r="CI67" s="71">
        <v>1011.426486160733</v>
      </c>
      <c r="CJ67" s="71">
        <v>1015.7212169527082</v>
      </c>
      <c r="CK67" s="71">
        <v>1020.1042917081641</v>
      </c>
      <c r="CL67" s="71">
        <v>1024.5757104271004</v>
      </c>
      <c r="CM67" s="71">
        <v>1029.1354731095171</v>
      </c>
      <c r="CN67" s="71">
        <v>1033.7835797554146</v>
      </c>
      <c r="CO67" s="71">
        <v>1038.5200303647925</v>
      </c>
      <c r="CP67" s="71">
        <v>1043.3448249376511</v>
      </c>
      <c r="CQ67" s="71">
        <v>1048.2579634739902</v>
      </c>
      <c r="CR67" s="71">
        <v>1053.25944597381</v>
      </c>
      <c r="CS67" s="71">
        <v>1058.3492724371104</v>
      </c>
      <c r="CT67" s="71">
        <v>1063.5274428638911</v>
      </c>
      <c r="CU67" s="71">
        <v>1068.7939572541525</v>
      </c>
      <c r="CV67" s="71">
        <v>1074.1488156078944</v>
      </c>
      <c r="CW67" s="71">
        <v>1079.592017925117</v>
      </c>
      <c r="CX67" s="71">
        <v>1085.12356420582</v>
      </c>
      <c r="CY67" s="71">
        <v>1090.7434544500036</v>
      </c>
      <c r="CZ67" s="71">
        <v>1096.4516886576678</v>
      </c>
      <c r="DA67" s="71">
        <v>1102.2482668288123</v>
      </c>
      <c r="DB67" s="71">
        <v>1108.1331889634378</v>
      </c>
      <c r="DC67" s="71">
        <v>1114.1064550615436</v>
      </c>
      <c r="DD67" s="71">
        <v>1120.1680651231302</v>
      </c>
      <c r="DE67" s="71">
        <v>1126.318019148197</v>
      </c>
      <c r="DF67" s="71">
        <v>1132.5563171367446</v>
      </c>
      <c r="DG67" s="71">
        <v>1138.8829590887726</v>
      </c>
      <c r="DH67" s="71">
        <v>1145.2979450042812</v>
      </c>
      <c r="DI67" s="71">
        <v>1151.8012748832703</v>
      </c>
      <c r="DJ67" s="71">
        <v>1158.3929487257401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-28.961319336724955</v>
      </c>
      <c r="P68" s="71">
        <v>-28.961319336724955</v>
      </c>
      <c r="Q68" s="71">
        <v>-28.952242057573926</v>
      </c>
      <c r="R68" s="71">
        <v>-28.880297769005409</v>
      </c>
      <c r="S68" s="71">
        <v>-28.736632909625449</v>
      </c>
      <c r="T68" s="71">
        <v>-28.521247479434052</v>
      </c>
      <c r="U68" s="71">
        <v>-28.234141478431219</v>
      </c>
      <c r="V68" s="71">
        <v>-27.875314906616957</v>
      </c>
      <c r="W68" s="71">
        <v>-27.444767763991251</v>
      </c>
      <c r="X68" s="71">
        <v>-26.942500050554109</v>
      </c>
      <c r="Y68" s="71">
        <v>-26.368511766305531</v>
      </c>
      <c r="Z68" s="71">
        <v>-25.722802911245513</v>
      </c>
      <c r="AA68" s="71">
        <v>-25.005373485374061</v>
      </c>
      <c r="AB68" s="71">
        <v>-24.21622348869117</v>
      </c>
      <c r="AC68" s="71">
        <v>-23.355352921196847</v>
      </c>
      <c r="AD68" s="71">
        <v>-22.422761782891083</v>
      </c>
      <c r="AE68" s="71">
        <v>-21.418450073773887</v>
      </c>
      <c r="AF68" s="71">
        <v>-20.34241779384525</v>
      </c>
      <c r="AG68" s="71">
        <v>-19.194664943105177</v>
      </c>
      <c r="AH68" s="71">
        <v>-17.975191521553672</v>
      </c>
      <c r="AI68" s="71">
        <v>-16.683997529190727</v>
      </c>
      <c r="AJ68" s="71">
        <v>-15.321082966016345</v>
      </c>
      <c r="AK68" s="71">
        <v>-13.886447832030523</v>
      </c>
      <c r="AL68" s="71">
        <v>-12.380092127233267</v>
      </c>
      <c r="AM68" s="71">
        <v>-10.802015851624574</v>
      </c>
      <c r="AN68" s="71">
        <v>-9.152219005204449</v>
      </c>
      <c r="AO68" s="71">
        <v>-7.4307015879728819</v>
      </c>
      <c r="AP68" s="71">
        <v>-5.6374635999298786</v>
      </c>
      <c r="AQ68" s="71">
        <v>-3.7725050410754464</v>
      </c>
      <c r="AR68" s="71">
        <v>-1.7960936454638863</v>
      </c>
      <c r="AS68" s="71">
        <v>0.37875575442714426</v>
      </c>
      <c r="AT68" s="71">
        <v>2.7551138213525332</v>
      </c>
      <c r="AU68" s="71">
        <v>5.3329805553122807</v>
      </c>
      <c r="AV68" s="71">
        <v>8.1123559563063861</v>
      </c>
      <c r="AW68" s="71">
        <v>11.09324002433485</v>
      </c>
      <c r="AX68" s="71">
        <v>14.275632759397672</v>
      </c>
      <c r="AY68" s="71">
        <v>17.65953416149485</v>
      </c>
      <c r="AZ68" s="71">
        <v>21.244944230626388</v>
      </c>
      <c r="BA68" s="71">
        <v>25.031862966792261</v>
      </c>
      <c r="BB68" s="71">
        <v>29.020290369992512</v>
      </c>
      <c r="BC68" s="71">
        <v>33.210226440227125</v>
      </c>
      <c r="BD68" s="71">
        <v>37.601671177496094</v>
      </c>
      <c r="BE68" s="71">
        <v>42.194624581799417</v>
      </c>
      <c r="BF68" s="71">
        <v>46.9890866531371</v>
      </c>
      <c r="BG68" s="71">
        <v>51.985057391509145</v>
      </c>
      <c r="BH68" s="71">
        <v>57.182536796915549</v>
      </c>
      <c r="BI68" s="71">
        <v>62.581524869356308</v>
      </c>
      <c r="BJ68" s="71">
        <v>68.182021608831434</v>
      </c>
      <c r="BK68" s="71">
        <v>73.984027015340899</v>
      </c>
      <c r="BL68" s="71">
        <v>79.987541088884697</v>
      </c>
      <c r="BM68" s="71">
        <v>86.192563829462898</v>
      </c>
      <c r="BN68" s="71">
        <v>92.599095237075446</v>
      </c>
      <c r="BO68" s="71">
        <v>99.207135311722354</v>
      </c>
      <c r="BP68" s="71">
        <v>106.01668405340361</v>
      </c>
      <c r="BQ68" s="71">
        <v>113.02774146211924</v>
      </c>
      <c r="BR68" s="71">
        <v>120.24030753786923</v>
      </c>
      <c r="BS68" s="71">
        <v>127.65438228065351</v>
      </c>
      <c r="BT68" s="71">
        <v>135.26996569047225</v>
      </c>
      <c r="BU68" s="71">
        <v>143.08705776732526</v>
      </c>
      <c r="BV68" s="71">
        <v>151.10565851121271</v>
      </c>
      <c r="BW68" s="71">
        <v>159.32576792213445</v>
      </c>
      <c r="BX68" s="71">
        <v>167.74738600009061</v>
      </c>
      <c r="BY68" s="71">
        <v>176.37051274508104</v>
      </c>
      <c r="BZ68" s="71">
        <v>185.19514815710596</v>
      </c>
      <c r="CA68" s="71">
        <v>194.22129223616511</v>
      </c>
      <c r="CB68" s="71">
        <v>203.44894498225861</v>
      </c>
      <c r="CC68" s="71">
        <v>212.8781063953866</v>
      </c>
      <c r="CD68" s="71">
        <v>222.50877647554881</v>
      </c>
      <c r="CE68" s="71">
        <v>232.34095522274549</v>
      </c>
      <c r="CF68" s="71">
        <v>242.3746426369764</v>
      </c>
      <c r="CG68" s="71">
        <v>252.6098387182418</v>
      </c>
      <c r="CH68" s="71">
        <v>263.04654346654144</v>
      </c>
      <c r="CI68" s="71">
        <v>273.68475688187556</v>
      </c>
      <c r="CJ68" s="71">
        <v>284.52447896424394</v>
      </c>
      <c r="CK68" s="71">
        <v>295.56570971364681</v>
      </c>
      <c r="CL68" s="71">
        <v>306.80844913008389</v>
      </c>
      <c r="CM68" s="71">
        <v>318.25269721355528</v>
      </c>
      <c r="CN68" s="71">
        <v>329.89845396406122</v>
      </c>
      <c r="CO68" s="71">
        <v>341.74571938160136</v>
      </c>
      <c r="CP68" s="71">
        <v>353.79449346617599</v>
      </c>
      <c r="CQ68" s="71">
        <v>366.04477621778489</v>
      </c>
      <c r="CR68" s="71">
        <v>378.49656763642821</v>
      </c>
      <c r="CS68" s="71">
        <v>391.14986772210574</v>
      </c>
      <c r="CT68" s="71">
        <v>404.00467647481787</v>
      </c>
      <c r="CU68" s="71">
        <v>417.06099389456415</v>
      </c>
      <c r="CV68" s="71">
        <v>430.31881998134492</v>
      </c>
      <c r="CW68" s="71">
        <v>443.77815473515994</v>
      </c>
      <c r="CX68" s="71">
        <v>457.43899815600929</v>
      </c>
      <c r="CY68" s="71">
        <v>471.30135024389307</v>
      </c>
      <c r="CZ68" s="71">
        <v>485.36521099881134</v>
      </c>
      <c r="DA68" s="71">
        <v>499.63058042076392</v>
      </c>
      <c r="DB68" s="71">
        <v>514.0974585097506</v>
      </c>
      <c r="DC68" s="71">
        <v>528.76584526577187</v>
      </c>
      <c r="DD68" s="71">
        <v>543.63574068882758</v>
      </c>
      <c r="DE68" s="71">
        <v>558.7071447789175</v>
      </c>
      <c r="DF68" s="71">
        <v>573.98005753604161</v>
      </c>
      <c r="DG68" s="71">
        <v>589.45447896020028</v>
      </c>
      <c r="DH68" s="71">
        <v>605.13040905139349</v>
      </c>
      <c r="DI68" s="71">
        <v>621.00784780962044</v>
      </c>
      <c r="DJ68" s="71">
        <v>637.08679523488229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602.86197214500396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45.567294474058833</v>
      </c>
      <c r="K85" s="79">
        <v>915.97635887495949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-280.47835120656561</v>
      </c>
      <c r="K86" s="79">
        <v>904.88778406708673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911688.07626019791</v>
      </c>
      <c r="J89" s="80">
        <v>7.1177106209083893E-2</v>
      </c>
      <c r="K89" s="80">
        <v>5.0324858596086016E-7</v>
      </c>
      <c r="L89" s="3"/>
      <c r="N89" s="1" t="s">
        <v>319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911305.04408077372</v>
      </c>
      <c r="J90" s="80">
        <v>4.5759396303359019E-2</v>
      </c>
      <c r="K90" s="80">
        <v>8.1573847155244993E-8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904887.78406708676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299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300</v>
      </c>
      <c r="R112" s="134">
        <f>R111/2/(J113-J116)</f>
        <v>8.9877999170151631E-4</v>
      </c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-3.3573283447647695</v>
      </c>
      <c r="L113" s="3"/>
      <c r="Q113" s="70" t="s">
        <v>301</v>
      </c>
      <c r="R113" s="1">
        <f>R111-2*R112*J113</f>
        <v>0.50417666033978403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602.86197214500396</v>
      </c>
      <c r="K114" s="79">
        <v>586.07311984717444</v>
      </c>
      <c r="L114" s="3"/>
      <c r="Q114" s="70" t="s">
        <v>302</v>
      </c>
      <c r="R114" s="1">
        <f>point1.Ms-R113*J113-R112*J113^2</f>
        <v>11.021636838225605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45.567294474058833</v>
      </c>
      <c r="K115" s="79">
        <v>18.707770200635483</v>
      </c>
      <c r="L115" s="3"/>
      <c r="Q115" s="1" t="s">
        <v>303</v>
      </c>
      <c r="R115" s="1">
        <f>R114+R113*J116+R112*J116^2</f>
        <v>-59.683682366242024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-280.47835120656561</v>
      </c>
      <c r="K116" s="79">
        <v>-28.961319336724955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3.850427167212978</v>
      </c>
      <c r="J119" s="80">
        <v>2.7374664160879328E-4</v>
      </c>
      <c r="K119" s="80">
        <v>1.1478877305093177E-9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3.1788464425934815</v>
      </c>
      <c r="J120" s="80">
        <v>2.2918108040108928E-4</v>
      </c>
      <c r="K120" s="80">
        <v>4.0855395686546743E-10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-28.961319336724955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259</v>
      </c>
      <c r="C127" s="58"/>
      <c r="D127" s="58"/>
      <c r="E127" s="58"/>
      <c r="F127" s="58"/>
      <c r="G127" s="58"/>
      <c r="H127" s="58"/>
      <c r="I127" s="59" t="s">
        <v>260</v>
      </c>
      <c r="J127" s="127">
        <v>1.4</v>
      </c>
      <c r="K127" s="60" t="s">
        <v>261</v>
      </c>
      <c r="L127" s="3"/>
      <c r="U127" s="99"/>
    </row>
    <row r="128" spans="1:21" ht="20.100000000000001" customHeight="1">
      <c r="A128" s="9" t="s">
        <v>4</v>
      </c>
      <c r="B128" s="8" t="s">
        <v>255</v>
      </c>
      <c r="C128" s="8"/>
      <c r="D128" s="8"/>
      <c r="E128" s="8"/>
      <c r="F128" s="8"/>
      <c r="G128" s="8"/>
      <c r="H128" s="8"/>
      <c r="I128" s="7" t="s">
        <v>256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257</v>
      </c>
      <c r="C129" s="11"/>
      <c r="D129" s="11"/>
      <c r="E129" s="11"/>
      <c r="F129" s="11"/>
      <c r="G129" s="11"/>
      <c r="H129" s="11"/>
      <c r="I129" s="10" t="s">
        <v>258</v>
      </c>
      <c r="J129" s="67">
        <v>1.2162355202035973</v>
      </c>
      <c r="K129" s="93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239</v>
      </c>
      <c r="C132" s="11"/>
      <c r="D132" s="11"/>
      <c r="E132" s="11"/>
      <c r="F132" s="11"/>
      <c r="G132" s="11"/>
      <c r="H132" s="11"/>
      <c r="I132" s="10" t="s">
        <v>240</v>
      </c>
      <c r="J132" s="97">
        <v>1.8202477434344697</v>
      </c>
      <c r="K132" s="93" t="s">
        <v>84</v>
      </c>
      <c r="L132" s="3"/>
      <c r="U132" s="99"/>
    </row>
    <row r="133" spans="1:21" ht="20.100000000000001" customHeight="1">
      <c r="A133" s="9" t="s">
        <v>4</v>
      </c>
      <c r="B133" s="17" t="s">
        <v>241</v>
      </c>
      <c r="C133" s="17"/>
      <c r="D133" s="17"/>
      <c r="E133" s="17"/>
      <c r="F133" s="17"/>
      <c r="G133" s="17"/>
      <c r="H133" s="17"/>
      <c r="I133" s="16" t="s">
        <v>242</v>
      </c>
      <c r="J133" s="141">
        <v>2873.978995715529</v>
      </c>
      <c r="K133" s="1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11" t="s">
        <v>243</v>
      </c>
      <c r="C136" s="11"/>
      <c r="D136" s="11"/>
      <c r="E136" s="11"/>
      <c r="F136" s="11"/>
      <c r="G136" s="11"/>
      <c r="H136" s="11"/>
      <c r="I136" s="10" t="s">
        <v>244</v>
      </c>
      <c r="J136" s="141">
        <v>1430.9053629268196</v>
      </c>
      <c r="K136" s="93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11"/>
      <c r="E137" s="11"/>
      <c r="F137" s="11"/>
      <c r="G137" s="11"/>
      <c r="H137" s="11"/>
      <c r="I137" s="10" t="s">
        <v>399</v>
      </c>
      <c r="J137" s="141">
        <v>1.5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6457.3265379635222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1.2322629896153621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326</v>
      </c>
      <c r="C148" s="8"/>
      <c r="D148" s="8"/>
      <c r="E148" s="8"/>
      <c r="F148" s="8"/>
      <c r="G148" s="8"/>
      <c r="H148" s="8"/>
      <c r="I148" s="81" t="s">
        <v>81</v>
      </c>
      <c r="J148" s="62">
        <v>-250.3393512065656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-250.3393512065656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7.8941373586939409E-2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29.999999999999996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4.0842287944535163E-2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0.20455426498915263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A.4.7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0.41784558348237155</v>
      </c>
      <c r="K169" s="93" t="s">
        <v>84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12" priority="5" stopIfTrue="1" operator="between">
      <formula>0</formula>
      <formula>1</formula>
    </cfRule>
  </conditionalFormatting>
  <conditionalFormatting sqref="K94">
    <cfRule type="cellIs" dxfId="11" priority="2" stopIfTrue="1" operator="between">
      <formula>0</formula>
      <formula>1</formula>
    </cfRule>
  </conditionalFormatting>
  <conditionalFormatting sqref="K124">
    <cfRule type="cellIs" dxfId="1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2"/>
  <sheetViews>
    <sheetView showGridLines="0" zoomScaleNormal="100" workbookViewId="0">
      <pane ySplit="1" topLeftCell="A162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99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98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97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96</v>
      </c>
      <c r="C16" s="178"/>
      <c r="D16" s="180" t="str">
        <f>Title</f>
        <v>Flange Segment Analytical Model for 60°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95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94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-203.20472760369486</v>
      </c>
      <c r="P66" s="71">
        <v>-194.50730794745678</v>
      </c>
      <c r="Q66" s="71">
        <v>-185.80988829121867</v>
      </c>
      <c r="R66" s="71">
        <v>-177.11246863498059</v>
      </c>
      <c r="S66" s="71">
        <v>-168.4150489787425</v>
      </c>
      <c r="T66" s="71">
        <v>-159.71762932250442</v>
      </c>
      <c r="U66" s="71">
        <v>-151.02020966626634</v>
      </c>
      <c r="V66" s="71">
        <v>-142.32279001002823</v>
      </c>
      <c r="W66" s="71">
        <v>-133.62537035379015</v>
      </c>
      <c r="X66" s="71">
        <v>-124.92795069755206</v>
      </c>
      <c r="Y66" s="71">
        <v>-116.23053104131397</v>
      </c>
      <c r="Z66" s="71">
        <v>-107.53311138507587</v>
      </c>
      <c r="AA66" s="71">
        <v>-98.835691728837787</v>
      </c>
      <c r="AB66" s="71">
        <v>-90.138272072599705</v>
      </c>
      <c r="AC66" s="71">
        <v>-81.440852416361608</v>
      </c>
      <c r="AD66" s="71">
        <v>-72.743432760123511</v>
      </c>
      <c r="AE66" s="71">
        <v>-64.046013103885429</v>
      </c>
      <c r="AF66" s="71">
        <v>-55.348593447647346</v>
      </c>
      <c r="AG66" s="71">
        <v>-46.651173791409263</v>
      </c>
      <c r="AH66" s="71">
        <v>-37.953754135171152</v>
      </c>
      <c r="AI66" s="71">
        <v>-29.256334478933073</v>
      </c>
      <c r="AJ66" s="71">
        <v>-20.558914822694991</v>
      </c>
      <c r="AK66" s="71">
        <v>-11.86149516645688</v>
      </c>
      <c r="AL66" s="71">
        <v>-3.1640755102187978</v>
      </c>
      <c r="AM66" s="71">
        <v>5.5333441460192843</v>
      </c>
      <c r="AN66" s="71">
        <v>14.230763802257366</v>
      </c>
      <c r="AO66" s="71">
        <v>22.92818345849545</v>
      </c>
      <c r="AP66" s="71">
        <v>31.625603114733561</v>
      </c>
      <c r="AQ66" s="71">
        <v>40.32302277097164</v>
      </c>
      <c r="AR66" s="71">
        <v>49.020442427209723</v>
      </c>
      <c r="AS66" s="71">
        <v>57.717862083447834</v>
      </c>
      <c r="AT66" s="71">
        <v>66.415281739685895</v>
      </c>
      <c r="AU66" s="71">
        <v>75.112701395924006</v>
      </c>
      <c r="AV66" s="71">
        <v>83.810121052162117</v>
      </c>
      <c r="AW66" s="71">
        <v>92.507540708400157</v>
      </c>
      <c r="AX66" s="71">
        <v>101.20496036463827</v>
      </c>
      <c r="AY66" s="71">
        <v>109.90238002087632</v>
      </c>
      <c r="AZ66" s="71">
        <v>118.59979967711443</v>
      </c>
      <c r="BA66" s="71">
        <v>127.29721933335254</v>
      </c>
      <c r="BB66" s="71">
        <v>135.99463898959061</v>
      </c>
      <c r="BC66" s="71">
        <v>144.69205864582872</v>
      </c>
      <c r="BD66" s="71">
        <v>153.38947830206683</v>
      </c>
      <c r="BE66" s="71">
        <v>162.08689795830489</v>
      </c>
      <c r="BF66" s="71">
        <v>170.784317614543</v>
      </c>
      <c r="BG66" s="71">
        <v>179.48173727078111</v>
      </c>
      <c r="BH66" s="71">
        <v>188.17915692701916</v>
      </c>
      <c r="BI66" s="71">
        <v>196.87657658325728</v>
      </c>
      <c r="BJ66" s="71">
        <v>205.57399623949533</v>
      </c>
      <c r="BK66" s="71">
        <v>214.27141589573344</v>
      </c>
      <c r="BL66" s="71">
        <v>222.96883555197155</v>
      </c>
      <c r="BM66" s="71">
        <v>231.66625520820961</v>
      </c>
      <c r="BN66" s="71">
        <v>240.36367486444772</v>
      </c>
      <c r="BO66" s="71">
        <v>249.06109452068577</v>
      </c>
      <c r="BP66" s="71">
        <v>257.75851417692388</v>
      </c>
      <c r="BQ66" s="71">
        <v>266.45593383316196</v>
      </c>
      <c r="BR66" s="71">
        <v>275.15335348939999</v>
      </c>
      <c r="BS66" s="71">
        <v>283.85077314563819</v>
      </c>
      <c r="BT66" s="71">
        <v>292.54819280187621</v>
      </c>
      <c r="BU66" s="71">
        <v>301.24561245811429</v>
      </c>
      <c r="BV66" s="71">
        <v>309.94303211435243</v>
      </c>
      <c r="BW66" s="71">
        <v>318.64045177059052</v>
      </c>
      <c r="BX66" s="71">
        <v>327.33787142682854</v>
      </c>
      <c r="BY66" s="71">
        <v>336.03529108306662</v>
      </c>
      <c r="BZ66" s="71">
        <v>344.73271073930476</v>
      </c>
      <c r="CA66" s="71">
        <v>353.43013039554285</v>
      </c>
      <c r="CB66" s="71">
        <v>362.12755005178087</v>
      </c>
      <c r="CC66" s="71">
        <v>370.82496970801907</v>
      </c>
      <c r="CD66" s="71">
        <v>379.52238936425709</v>
      </c>
      <c r="CE66" s="71">
        <v>388.21980902049518</v>
      </c>
      <c r="CF66" s="71">
        <v>396.91722867673332</v>
      </c>
      <c r="CG66" s="71">
        <v>405.6146483329714</v>
      </c>
      <c r="CH66" s="71">
        <v>414.31206798920942</v>
      </c>
      <c r="CI66" s="71">
        <v>423.00948764544751</v>
      </c>
      <c r="CJ66" s="71">
        <v>431.70690730168565</v>
      </c>
      <c r="CK66" s="71">
        <v>440.40432695792373</v>
      </c>
      <c r="CL66" s="71">
        <v>449.10174661416175</v>
      </c>
      <c r="CM66" s="71">
        <v>457.79916627039995</v>
      </c>
      <c r="CN66" s="71">
        <v>466.49658592663798</v>
      </c>
      <c r="CO66" s="71">
        <v>475.19400558287606</v>
      </c>
      <c r="CP66" s="71">
        <v>483.8914252391142</v>
      </c>
      <c r="CQ66" s="71">
        <v>492.58884489535228</v>
      </c>
      <c r="CR66" s="71">
        <v>501.28626455159031</v>
      </c>
      <c r="CS66" s="71">
        <v>509.9836842078285</v>
      </c>
      <c r="CT66" s="71">
        <v>518.68110386406659</v>
      </c>
      <c r="CU66" s="71">
        <v>527.37852352030461</v>
      </c>
      <c r="CV66" s="71">
        <v>536.07594317654275</v>
      </c>
      <c r="CW66" s="71">
        <v>544.77336283278078</v>
      </c>
      <c r="CX66" s="71">
        <v>553.47078248901892</v>
      </c>
      <c r="CY66" s="71">
        <v>562.16820214525706</v>
      </c>
      <c r="CZ66" s="71">
        <v>570.86562180149508</v>
      </c>
      <c r="DA66" s="71">
        <v>579.56304145773311</v>
      </c>
      <c r="DB66" s="71">
        <v>588.26046111397125</v>
      </c>
      <c r="DC66" s="71">
        <v>596.95788077020939</v>
      </c>
      <c r="DD66" s="71">
        <v>605.65530042644741</v>
      </c>
      <c r="DE66" s="71">
        <v>614.35272008268544</v>
      </c>
      <c r="DF66" s="71">
        <v>623.05013973892369</v>
      </c>
      <c r="DG66" s="71">
        <v>631.74755939516172</v>
      </c>
      <c r="DH66" s="71">
        <v>640.44497905139974</v>
      </c>
      <c r="DI66" s="71">
        <v>649.14239870763788</v>
      </c>
      <c r="DJ66" s="71">
        <v>657.83981836387602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908.68181785475315</v>
      </c>
      <c r="P67" s="71">
        <v>908.68181785475315</v>
      </c>
      <c r="Q67" s="71">
        <v>908.68475946661908</v>
      </c>
      <c r="R67" s="71">
        <v>908.69512406973945</v>
      </c>
      <c r="S67" s="71">
        <v>908.71295898903782</v>
      </c>
      <c r="T67" s="71">
        <v>908.73826422451396</v>
      </c>
      <c r="U67" s="71">
        <v>908.77103977616798</v>
      </c>
      <c r="V67" s="71">
        <v>908.81128564400001</v>
      </c>
      <c r="W67" s="71">
        <v>908.85900182800981</v>
      </c>
      <c r="X67" s="71">
        <v>908.91418832819772</v>
      </c>
      <c r="Y67" s="71">
        <v>908.9768451445633</v>
      </c>
      <c r="Z67" s="71">
        <v>909.0469722771071</v>
      </c>
      <c r="AA67" s="71">
        <v>909.12456972582856</v>
      </c>
      <c r="AB67" s="71">
        <v>909.20963749072803</v>
      </c>
      <c r="AC67" s="71">
        <v>909.30217557180538</v>
      </c>
      <c r="AD67" s="71">
        <v>909.40218396906062</v>
      </c>
      <c r="AE67" s="71">
        <v>909.50966268249385</v>
      </c>
      <c r="AF67" s="71">
        <v>909.62461171210487</v>
      </c>
      <c r="AG67" s="71">
        <v>909.74703105789388</v>
      </c>
      <c r="AH67" s="71">
        <v>909.87692071986078</v>
      </c>
      <c r="AI67" s="71">
        <v>910.01463414060095</v>
      </c>
      <c r="AJ67" s="71">
        <v>910.20074663797016</v>
      </c>
      <c r="AK67" s="71">
        <v>910.46296315112079</v>
      </c>
      <c r="AL67" s="71">
        <v>910.80128368005296</v>
      </c>
      <c r="AM67" s="71">
        <v>911.21570822476656</v>
      </c>
      <c r="AN67" s="71">
        <v>911.70623678526169</v>
      </c>
      <c r="AO67" s="71">
        <v>912.27286936153814</v>
      </c>
      <c r="AP67" s="71">
        <v>912.91560595359601</v>
      </c>
      <c r="AQ67" s="71">
        <v>913.63444656143542</v>
      </c>
      <c r="AR67" s="71">
        <v>914.42939118505626</v>
      </c>
      <c r="AS67" s="71">
        <v>915.30043982445864</v>
      </c>
      <c r="AT67" s="71">
        <v>916.24759247964232</v>
      </c>
      <c r="AU67" s="71">
        <v>917.27084915060755</v>
      </c>
      <c r="AV67" s="71">
        <v>918.37020983735431</v>
      </c>
      <c r="AW67" s="71">
        <v>919.54567453988238</v>
      </c>
      <c r="AX67" s="71">
        <v>920.797243258192</v>
      </c>
      <c r="AY67" s="71">
        <v>922.12491599228304</v>
      </c>
      <c r="AZ67" s="71">
        <v>923.5286927421555</v>
      </c>
      <c r="BA67" s="71">
        <v>925.00857350780939</v>
      </c>
      <c r="BB67" s="71">
        <v>926.56455828924481</v>
      </c>
      <c r="BC67" s="71">
        <v>928.19664708646167</v>
      </c>
      <c r="BD67" s="71">
        <v>929.90483989945994</v>
      </c>
      <c r="BE67" s="71">
        <v>931.68913672823976</v>
      </c>
      <c r="BF67" s="71">
        <v>933.54953757280089</v>
      </c>
      <c r="BG67" s="71">
        <v>935.48604243314355</v>
      </c>
      <c r="BH67" s="71">
        <v>937.49865130926776</v>
      </c>
      <c r="BI67" s="71">
        <v>939.58736420117327</v>
      </c>
      <c r="BJ67" s="71">
        <v>941.75218110886033</v>
      </c>
      <c r="BK67" s="71">
        <v>943.99310203232869</v>
      </c>
      <c r="BL67" s="71">
        <v>946.31012697157871</v>
      </c>
      <c r="BM67" s="71">
        <v>948.70325592661004</v>
      </c>
      <c r="BN67" s="71">
        <v>951.17248889742291</v>
      </c>
      <c r="BO67" s="71">
        <v>953.7178258840172</v>
      </c>
      <c r="BP67" s="71">
        <v>956.33926688639292</v>
      </c>
      <c r="BQ67" s="71">
        <v>959.03681190455018</v>
      </c>
      <c r="BR67" s="71">
        <v>961.81046093848886</v>
      </c>
      <c r="BS67" s="71">
        <v>964.66021398820897</v>
      </c>
      <c r="BT67" s="71">
        <v>967.5860710537105</v>
      </c>
      <c r="BU67" s="71">
        <v>970.58803213499345</v>
      </c>
      <c r="BV67" s="71">
        <v>973.66609723205795</v>
      </c>
      <c r="BW67" s="71">
        <v>976.82026634490398</v>
      </c>
      <c r="BX67" s="71">
        <v>980.05053947353133</v>
      </c>
      <c r="BY67" s="71">
        <v>983.3569166179401</v>
      </c>
      <c r="BZ67" s="71">
        <v>986.73939777813041</v>
      </c>
      <c r="CA67" s="71">
        <v>990.19798295410214</v>
      </c>
      <c r="CB67" s="71">
        <v>993.7326721458553</v>
      </c>
      <c r="CC67" s="71">
        <v>997.34346535339</v>
      </c>
      <c r="CD67" s="71">
        <v>1001.0303625767061</v>
      </c>
      <c r="CE67" s="71">
        <v>1004.7933638158036</v>
      </c>
      <c r="CF67" s="71">
        <v>1008.6324690706826</v>
      </c>
      <c r="CG67" s="71">
        <v>1012.547678341343</v>
      </c>
      <c r="CH67" s="71">
        <v>1016.538991627785</v>
      </c>
      <c r="CI67" s="71">
        <v>1020.6064089300083</v>
      </c>
      <c r="CJ67" s="71">
        <v>1024.7499302480132</v>
      </c>
      <c r="CK67" s="71">
        <v>1028.9695555817996</v>
      </c>
      <c r="CL67" s="71">
        <v>1033.2652849313672</v>
      </c>
      <c r="CM67" s="71">
        <v>1037.6371182967164</v>
      </c>
      <c r="CN67" s="71">
        <v>1042.0850556778471</v>
      </c>
      <c r="CO67" s="71">
        <v>1046.6090970747591</v>
      </c>
      <c r="CP67" s="71">
        <v>1051.2092424874527</v>
      </c>
      <c r="CQ67" s="71">
        <v>1055.8854919159278</v>
      </c>
      <c r="CR67" s="71">
        <v>1060.6378453601842</v>
      </c>
      <c r="CS67" s="71">
        <v>1065.4663028202219</v>
      </c>
      <c r="CT67" s="71">
        <v>1070.3708642960414</v>
      </c>
      <c r="CU67" s="71">
        <v>1075.3515297876422</v>
      </c>
      <c r="CV67" s="71">
        <v>1080.4082992950246</v>
      </c>
      <c r="CW67" s="71">
        <v>1085.541172818188</v>
      </c>
      <c r="CX67" s="71">
        <v>1090.7501503571332</v>
      </c>
      <c r="CY67" s="71">
        <v>1096.0352319118599</v>
      </c>
      <c r="CZ67" s="71">
        <v>1101.3964174823682</v>
      </c>
      <c r="DA67" s="71">
        <v>1106.8337070686575</v>
      </c>
      <c r="DB67" s="71">
        <v>1112.3471006707287</v>
      </c>
      <c r="DC67" s="71">
        <v>1117.9365982885811</v>
      </c>
      <c r="DD67" s="71">
        <v>1123.602199922215</v>
      </c>
      <c r="DE67" s="71">
        <v>1129.3439055716303</v>
      </c>
      <c r="DF67" s="71">
        <v>1135.1617152368269</v>
      </c>
      <c r="DG67" s="71">
        <v>1141.0556289178053</v>
      </c>
      <c r="DH67" s="71">
        <v>1147.0256466145649</v>
      </c>
      <c r="DI67" s="71">
        <v>1153.0717683271062</v>
      </c>
      <c r="DJ67" s="71">
        <v>1159.1939940554287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-17.124593883740655</v>
      </c>
      <c r="P68" s="71">
        <v>-17.124593883740655</v>
      </c>
      <c r="Q68" s="71">
        <v>-17.094869751717283</v>
      </c>
      <c r="R68" s="71">
        <v>-16.990138452841897</v>
      </c>
      <c r="S68" s="71">
        <v>-16.809921782530864</v>
      </c>
      <c r="T68" s="71">
        <v>-16.554219740784184</v>
      </c>
      <c r="U68" s="71">
        <v>-16.22303232760186</v>
      </c>
      <c r="V68" s="71">
        <v>-15.816359542983886</v>
      </c>
      <c r="W68" s="71">
        <v>-15.33420138693026</v>
      </c>
      <c r="X68" s="71">
        <v>-14.776557859440988</v>
      </c>
      <c r="Y68" s="71">
        <v>-14.143428960516072</v>
      </c>
      <c r="Z68" s="71">
        <v>-13.434814690155505</v>
      </c>
      <c r="AA68" s="71">
        <v>-12.650715048359292</v>
      </c>
      <c r="AB68" s="71">
        <v>-11.791130035127434</v>
      </c>
      <c r="AC68" s="71">
        <v>-10.856059650459922</v>
      </c>
      <c r="AD68" s="71">
        <v>-9.8455038943567637</v>
      </c>
      <c r="AE68" s="71">
        <v>-8.7594627668179612</v>
      </c>
      <c r="AF68" s="71">
        <v>-7.597936267843509</v>
      </c>
      <c r="AG68" s="71">
        <v>-6.3609243974334087</v>
      </c>
      <c r="AH68" s="71">
        <v>-5.0484271555876576</v>
      </c>
      <c r="AI68" s="71">
        <v>-3.6599393339997892</v>
      </c>
      <c r="AJ68" s="71">
        <v>-2.1374628648304421</v>
      </c>
      <c r="AK68" s="71">
        <v>-0.44139650709493994</v>
      </c>
      <c r="AL68" s="71">
        <v>1.4282597392067058</v>
      </c>
      <c r="AM68" s="71">
        <v>3.4715058740745004</v>
      </c>
      <c r="AN68" s="71">
        <v>5.6883418975084448</v>
      </c>
      <c r="AO68" s="71">
        <v>8.0787678095085376</v>
      </c>
      <c r="AP68" s="71">
        <v>10.642783610074789</v>
      </c>
      <c r="AQ68" s="71">
        <v>13.380389299207179</v>
      </c>
      <c r="AR68" s="71">
        <v>16.29158487690572</v>
      </c>
      <c r="AS68" s="71">
        <v>19.376370343170422</v>
      </c>
      <c r="AT68" s="71">
        <v>22.634745698001247</v>
      </c>
      <c r="AU68" s="71">
        <v>26.066710941398249</v>
      </c>
      <c r="AV68" s="71">
        <v>29.672266073361399</v>
      </c>
      <c r="AW68" s="71">
        <v>33.45141109389067</v>
      </c>
      <c r="AX68" s="71">
        <v>37.404146002986117</v>
      </c>
      <c r="AY68" s="71">
        <v>41.530470800647691</v>
      </c>
      <c r="AZ68" s="71">
        <v>45.830385486875443</v>
      </c>
      <c r="BA68" s="71">
        <v>50.303890061669343</v>
      </c>
      <c r="BB68" s="71">
        <v>54.950984525029355</v>
      </c>
      <c r="BC68" s="71">
        <v>59.771668876955552</v>
      </c>
      <c r="BD68" s="71">
        <v>64.765943117447904</v>
      </c>
      <c r="BE68" s="71">
        <v>69.933807246506362</v>
      </c>
      <c r="BF68" s="71">
        <v>75.275261264131018</v>
      </c>
      <c r="BG68" s="71">
        <v>80.790305170321815</v>
      </c>
      <c r="BH68" s="71">
        <v>86.478938965078726</v>
      </c>
      <c r="BI68" s="71">
        <v>92.34116264840182</v>
      </c>
      <c r="BJ68" s="71">
        <v>98.376976220291041</v>
      </c>
      <c r="BK68" s="71">
        <v>104.58637968074642</v>
      </c>
      <c r="BL68" s="71">
        <v>110.96937302976797</v>
      </c>
      <c r="BM68" s="71">
        <v>117.52595626735562</v>
      </c>
      <c r="BN68" s="71">
        <v>124.25612939350947</v>
      </c>
      <c r="BO68" s="71">
        <v>131.15989240822941</v>
      </c>
      <c r="BP68" s="71">
        <v>138.23724531151555</v>
      </c>
      <c r="BQ68" s="71">
        <v>145.4881881033678</v>
      </c>
      <c r="BR68" s="71">
        <v>152.9127207837862</v>
      </c>
      <c r="BS68" s="71">
        <v>160.51084335277085</v>
      </c>
      <c r="BT68" s="71">
        <v>168.28255581032155</v>
      </c>
      <c r="BU68" s="71">
        <v>176.22785815643837</v>
      </c>
      <c r="BV68" s="71">
        <v>184.3467503911215</v>
      </c>
      <c r="BW68" s="71">
        <v>192.63923251437063</v>
      </c>
      <c r="BX68" s="71">
        <v>201.10530452618593</v>
      </c>
      <c r="BY68" s="71">
        <v>209.74496642656734</v>
      </c>
      <c r="BZ68" s="71">
        <v>218.55821821551507</v>
      </c>
      <c r="CA68" s="71">
        <v>227.54505989302879</v>
      </c>
      <c r="CB68" s="71">
        <v>236.70549145910866</v>
      </c>
      <c r="CC68" s="71">
        <v>246.03951291375483</v>
      </c>
      <c r="CD68" s="71">
        <v>255.54712425696701</v>
      </c>
      <c r="CE68" s="71">
        <v>265.22832548874533</v>
      </c>
      <c r="CF68" s="71">
        <v>275.08311660908998</v>
      </c>
      <c r="CG68" s="71">
        <v>285.11149761800056</v>
      </c>
      <c r="CH68" s="71">
        <v>295.31346851547733</v>
      </c>
      <c r="CI68" s="71">
        <v>305.68902930152024</v>
      </c>
      <c r="CJ68" s="71">
        <v>316.23817997612946</v>
      </c>
      <c r="CK68" s="71">
        <v>326.96092053930465</v>
      </c>
      <c r="CL68" s="71">
        <v>337.85725099104604</v>
      </c>
      <c r="CM68" s="71">
        <v>348.92717133135369</v>
      </c>
      <c r="CN68" s="71">
        <v>360.17068156022737</v>
      </c>
      <c r="CO68" s="71">
        <v>371.58778167766718</v>
      </c>
      <c r="CP68" s="71">
        <v>383.17847168367331</v>
      </c>
      <c r="CQ68" s="71">
        <v>394.94275157824541</v>
      </c>
      <c r="CR68" s="71">
        <v>406.88062136138376</v>
      </c>
      <c r="CS68" s="71">
        <v>418.9920810330882</v>
      </c>
      <c r="CT68" s="71">
        <v>431.27713059335889</v>
      </c>
      <c r="CU68" s="71">
        <v>443.73577004219555</v>
      </c>
      <c r="CV68" s="71">
        <v>456.36799937959847</v>
      </c>
      <c r="CW68" s="71">
        <v>469.17381860556759</v>
      </c>
      <c r="CX68" s="71">
        <v>482.15322772010273</v>
      </c>
      <c r="CY68" s="71">
        <v>495.30622672320425</v>
      </c>
      <c r="CZ68" s="71">
        <v>508.63281561487167</v>
      </c>
      <c r="DA68" s="71">
        <v>522.13299439510524</v>
      </c>
      <c r="DB68" s="71">
        <v>535.80676306390501</v>
      </c>
      <c r="DC68" s="71">
        <v>549.65412162127109</v>
      </c>
      <c r="DD68" s="71">
        <v>563.67507006720314</v>
      </c>
      <c r="DE68" s="71">
        <v>577.86960840170127</v>
      </c>
      <c r="DF68" s="71">
        <v>592.23773662476583</v>
      </c>
      <c r="DG68" s="71">
        <v>606.77945473639625</v>
      </c>
      <c r="DH68" s="71">
        <v>621.49476273659286</v>
      </c>
      <c r="DI68" s="71">
        <v>636.3836606253559</v>
      </c>
      <c r="DJ68" s="71">
        <v>651.4461484026848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626.5141127275009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40.20881697049844</v>
      </c>
      <c r="K85" s="79">
        <v>913.62451436702588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-193.52831200351892</v>
      </c>
      <c r="K86" s="79">
        <v>908.68181785475315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910943.24208301504</v>
      </c>
      <c r="J89" s="80">
        <v>4.6457316459331252E-2</v>
      </c>
      <c r="K89" s="80">
        <v>5.0303329000886457E-7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910531.15951839054</v>
      </c>
      <c r="J90" s="80">
        <v>1.9111846163405884E-2</v>
      </c>
      <c r="K90" s="80">
        <v>4.9377390743371888E-8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908681.81785475311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-3.8047468405809299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626.5141127275009</v>
      </c>
      <c r="K114" s="79">
        <v>598.0085524732109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40.20881697049844</v>
      </c>
      <c r="K115" s="79">
        <v>13.343317065475242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-193.52831200351892</v>
      </c>
      <c r="K116" s="79">
        <v>-17.124593883740655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2.1514934054421051</v>
      </c>
      <c r="J119" s="80">
        <v>2.3220706353618191E-4</v>
      </c>
      <c r="K119" s="80">
        <v>1.147396649980488E-9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1.5624655480789746</v>
      </c>
      <c r="J120" s="80">
        <v>1.931196447523383E-4</v>
      </c>
      <c r="K120" s="80">
        <v>4.9894416675537071E-10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-17.124593883740655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0.63575115537527971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2.3404954868689396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1117.573994690252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96.742143281436711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2428.6322759433774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1.0873552529472772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-163.38931200351891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-163.38931200351891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5.1522769619786857E-2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59.999999999999993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1.6135475804176912E-2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0.16304428826865808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B.4.7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0.29121988203380123</v>
      </c>
      <c r="K169" s="93" t="s">
        <v>84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9" priority="3" stopIfTrue="1" operator="between">
      <formula>0</formula>
      <formula>1</formula>
    </cfRule>
  </conditionalFormatting>
  <conditionalFormatting sqref="K94">
    <cfRule type="cellIs" dxfId="8" priority="2" stopIfTrue="1" operator="between">
      <formula>0</formula>
      <formula>1</formula>
    </cfRule>
  </conditionalFormatting>
  <conditionalFormatting sqref="K124">
    <cfRule type="cellIs" dxfId="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2"/>
  <sheetViews>
    <sheetView showGridLines="0" zoomScaleNormal="100" workbookViewId="0">
      <pane ySplit="1" topLeftCell="A156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290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99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98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97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96</v>
      </c>
      <c r="C16" s="178"/>
      <c r="D16" s="180" t="str">
        <f>Title</f>
        <v>Flange Segment Analytical Model for 90°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95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94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-203.44740618573869</v>
      </c>
      <c r="P66" s="71">
        <v>-194.9383308173955</v>
      </c>
      <c r="Q66" s="71">
        <v>-186.42925544905231</v>
      </c>
      <c r="R66" s="71">
        <v>-177.92018008070914</v>
      </c>
      <c r="S66" s="71">
        <v>-169.41110471236595</v>
      </c>
      <c r="T66" s="71">
        <v>-160.90202934402276</v>
      </c>
      <c r="U66" s="71">
        <v>-152.39295397567957</v>
      </c>
      <c r="V66" s="71">
        <v>-143.88387860733638</v>
      </c>
      <c r="W66" s="71">
        <v>-135.37480323899322</v>
      </c>
      <c r="X66" s="71">
        <v>-126.86572787065002</v>
      </c>
      <c r="Y66" s="71">
        <v>-118.35665250230684</v>
      </c>
      <c r="Z66" s="71">
        <v>-109.84757713396365</v>
      </c>
      <c r="AA66" s="71">
        <v>-101.33850176562046</v>
      </c>
      <c r="AB66" s="71">
        <v>-92.829426397277274</v>
      </c>
      <c r="AC66" s="71">
        <v>-84.320351028934098</v>
      </c>
      <c r="AD66" s="71">
        <v>-75.811275660590908</v>
      </c>
      <c r="AE66" s="71">
        <v>-67.302200292247733</v>
      </c>
      <c r="AF66" s="71">
        <v>-58.793124923904543</v>
      </c>
      <c r="AG66" s="71">
        <v>-50.28404955556136</v>
      </c>
      <c r="AH66" s="71">
        <v>-41.774974187218177</v>
      </c>
      <c r="AI66" s="71">
        <v>-33.265898818874994</v>
      </c>
      <c r="AJ66" s="71">
        <v>-24.756823450531812</v>
      </c>
      <c r="AK66" s="71">
        <v>-16.247748082188629</v>
      </c>
      <c r="AL66" s="71">
        <v>-7.7386727138454443</v>
      </c>
      <c r="AM66" s="71">
        <v>0.77040265449776779</v>
      </c>
      <c r="AN66" s="71">
        <v>9.2794780228409515</v>
      </c>
      <c r="AO66" s="71">
        <v>17.788553391184134</v>
      </c>
      <c r="AP66" s="71">
        <v>26.297628759527317</v>
      </c>
      <c r="AQ66" s="71">
        <v>34.806704127870503</v>
      </c>
      <c r="AR66" s="71">
        <v>43.315779496213686</v>
      </c>
      <c r="AS66" s="71">
        <v>51.824854864556869</v>
      </c>
      <c r="AT66" s="71">
        <v>60.333930232900023</v>
      </c>
      <c r="AU66" s="71">
        <v>68.843005601243235</v>
      </c>
      <c r="AV66" s="71">
        <v>77.352080969586439</v>
      </c>
      <c r="AW66" s="71">
        <v>85.8611563379296</v>
      </c>
      <c r="AX66" s="71">
        <v>94.370231706272804</v>
      </c>
      <c r="AY66" s="71">
        <v>102.87930707461597</v>
      </c>
      <c r="AZ66" s="71">
        <v>111.38838244295917</v>
      </c>
      <c r="BA66" s="71">
        <v>119.89745781130233</v>
      </c>
      <c r="BB66" s="71">
        <v>128.40653317964555</v>
      </c>
      <c r="BC66" s="71">
        <v>136.91560854798871</v>
      </c>
      <c r="BD66" s="71">
        <v>145.4246839163319</v>
      </c>
      <c r="BE66" s="71">
        <v>153.93375928467506</v>
      </c>
      <c r="BF66" s="71">
        <v>162.44283465301828</v>
      </c>
      <c r="BG66" s="71">
        <v>170.95191002136144</v>
      </c>
      <c r="BH66" s="71">
        <v>179.46098538970463</v>
      </c>
      <c r="BI66" s="71">
        <v>187.97006075804779</v>
      </c>
      <c r="BJ66" s="71">
        <v>196.47913612639101</v>
      </c>
      <c r="BK66" s="71">
        <v>204.98821149473423</v>
      </c>
      <c r="BL66" s="71">
        <v>213.49728686307736</v>
      </c>
      <c r="BM66" s="71">
        <v>222.00636223142058</v>
      </c>
      <c r="BN66" s="71">
        <v>230.51543759976374</v>
      </c>
      <c r="BO66" s="71">
        <v>239.02451296810696</v>
      </c>
      <c r="BP66" s="71">
        <v>247.53358833645009</v>
      </c>
      <c r="BQ66" s="71">
        <v>256.04266370479331</v>
      </c>
      <c r="BR66" s="71">
        <v>264.55173907313645</v>
      </c>
      <c r="BS66" s="71">
        <v>273.06081444147969</v>
      </c>
      <c r="BT66" s="71">
        <v>281.56988980982283</v>
      </c>
      <c r="BU66" s="71">
        <v>290.07896517816607</v>
      </c>
      <c r="BV66" s="71">
        <v>298.58804054650921</v>
      </c>
      <c r="BW66" s="71">
        <v>307.0971159148524</v>
      </c>
      <c r="BX66" s="71">
        <v>315.60619128319559</v>
      </c>
      <c r="BY66" s="71">
        <v>324.11526665153872</v>
      </c>
      <c r="BZ66" s="71">
        <v>332.62434201988202</v>
      </c>
      <c r="CA66" s="71">
        <v>341.13341738822515</v>
      </c>
      <c r="CB66" s="71">
        <v>349.64249275656829</v>
      </c>
      <c r="CC66" s="71">
        <v>358.15156812491159</v>
      </c>
      <c r="CD66" s="71">
        <v>366.66064349325472</v>
      </c>
      <c r="CE66" s="71">
        <v>375.16971886159786</v>
      </c>
      <c r="CF66" s="71">
        <v>383.67879422994105</v>
      </c>
      <c r="CG66" s="71">
        <v>392.18786959828429</v>
      </c>
      <c r="CH66" s="71">
        <v>400.69694496662748</v>
      </c>
      <c r="CI66" s="71">
        <v>409.20602033497062</v>
      </c>
      <c r="CJ66" s="71">
        <v>417.71509570331375</v>
      </c>
      <c r="CK66" s="71">
        <v>426.22417107165705</v>
      </c>
      <c r="CL66" s="71">
        <v>434.73324644000019</v>
      </c>
      <c r="CM66" s="71">
        <v>443.24232180834332</v>
      </c>
      <c r="CN66" s="71">
        <v>451.75139717668651</v>
      </c>
      <c r="CO66" s="71">
        <v>460.26047254502976</v>
      </c>
      <c r="CP66" s="71">
        <v>468.76954791337295</v>
      </c>
      <c r="CQ66" s="71">
        <v>477.27862328171608</v>
      </c>
      <c r="CR66" s="71">
        <v>485.78769865005933</v>
      </c>
      <c r="CS66" s="71">
        <v>494.29677401840252</v>
      </c>
      <c r="CT66" s="71">
        <v>502.80584938674565</v>
      </c>
      <c r="CU66" s="71">
        <v>511.31492475508878</v>
      </c>
      <c r="CV66" s="71">
        <v>519.82400012343203</v>
      </c>
      <c r="CW66" s="71">
        <v>528.33307549177528</v>
      </c>
      <c r="CX66" s="71">
        <v>536.84215086011841</v>
      </c>
      <c r="CY66" s="71">
        <v>545.35122622846166</v>
      </c>
      <c r="CZ66" s="71">
        <v>553.86030159680479</v>
      </c>
      <c r="DA66" s="71">
        <v>562.36937696514792</v>
      </c>
      <c r="DB66" s="71">
        <v>570.87845233349105</v>
      </c>
      <c r="DC66" s="71">
        <v>579.38752770183419</v>
      </c>
      <c r="DD66" s="71">
        <v>587.89660307017755</v>
      </c>
      <c r="DE66" s="71">
        <v>596.40567843852079</v>
      </c>
      <c r="DF66" s="71">
        <v>604.91475380686393</v>
      </c>
      <c r="DG66" s="71">
        <v>613.42382917520706</v>
      </c>
      <c r="DH66" s="71">
        <v>621.93290454355019</v>
      </c>
      <c r="DI66" s="71">
        <v>630.44197991189333</v>
      </c>
      <c r="DJ66" s="71">
        <v>638.95105528023657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908.80770547966517</v>
      </c>
      <c r="P67" s="71">
        <v>908.80770547966517</v>
      </c>
      <c r="Q67" s="71">
        <v>908.81009845171866</v>
      </c>
      <c r="R67" s="71">
        <v>908.81887868891977</v>
      </c>
      <c r="S67" s="71">
        <v>908.83410808685971</v>
      </c>
      <c r="T67" s="71">
        <v>908.85578664553827</v>
      </c>
      <c r="U67" s="71">
        <v>908.88391436495579</v>
      </c>
      <c r="V67" s="71">
        <v>908.9184912451118</v>
      </c>
      <c r="W67" s="71">
        <v>908.95951728600664</v>
      </c>
      <c r="X67" s="71">
        <v>909.00699248764022</v>
      </c>
      <c r="Y67" s="71">
        <v>909.06091685001263</v>
      </c>
      <c r="Z67" s="71">
        <v>909.12129037312366</v>
      </c>
      <c r="AA67" s="71">
        <v>909.18811305697341</v>
      </c>
      <c r="AB67" s="71">
        <v>909.261384901562</v>
      </c>
      <c r="AC67" s="71">
        <v>909.34110590688931</v>
      </c>
      <c r="AD67" s="71">
        <v>909.42727607295535</v>
      </c>
      <c r="AE67" s="71">
        <v>909.51989539976012</v>
      </c>
      <c r="AF67" s="71">
        <v>909.61896388730372</v>
      </c>
      <c r="AG67" s="71">
        <v>909.72448153558594</v>
      </c>
      <c r="AH67" s="71">
        <v>909.83644834460699</v>
      </c>
      <c r="AI67" s="71">
        <v>909.95486431436666</v>
      </c>
      <c r="AJ67" s="71">
        <v>910.09393501435136</v>
      </c>
      <c r="AK67" s="71">
        <v>910.30567301793553</v>
      </c>
      <c r="AL67" s="71">
        <v>910.59487312434294</v>
      </c>
      <c r="AM67" s="71">
        <v>910.96153533357403</v>
      </c>
      <c r="AN67" s="71">
        <v>911.40565964562859</v>
      </c>
      <c r="AO67" s="71">
        <v>911.9272460605066</v>
      </c>
      <c r="AP67" s="71">
        <v>912.52629457820797</v>
      </c>
      <c r="AQ67" s="71">
        <v>913.20280519873302</v>
      </c>
      <c r="AR67" s="71">
        <v>913.95677792208153</v>
      </c>
      <c r="AS67" s="71">
        <v>914.7882127482535</v>
      </c>
      <c r="AT67" s="71">
        <v>915.69710967724893</v>
      </c>
      <c r="AU67" s="71">
        <v>916.68346870906794</v>
      </c>
      <c r="AV67" s="71">
        <v>917.7472898437104</v>
      </c>
      <c r="AW67" s="71">
        <v>918.88857308117633</v>
      </c>
      <c r="AX67" s="71">
        <v>920.10731842146583</v>
      </c>
      <c r="AY67" s="71">
        <v>921.4035258645788</v>
      </c>
      <c r="AZ67" s="71">
        <v>922.77719541051533</v>
      </c>
      <c r="BA67" s="71">
        <v>924.22832705927522</v>
      </c>
      <c r="BB67" s="71">
        <v>925.75692081085856</v>
      </c>
      <c r="BC67" s="71">
        <v>927.36297666526559</v>
      </c>
      <c r="BD67" s="71">
        <v>929.04649462249608</v>
      </c>
      <c r="BE67" s="71">
        <v>930.80747468254992</v>
      </c>
      <c r="BF67" s="71">
        <v>932.64591684542734</v>
      </c>
      <c r="BG67" s="71">
        <v>934.56182111112832</v>
      </c>
      <c r="BH67" s="71">
        <v>936.55518747965266</v>
      </c>
      <c r="BI67" s="71">
        <v>938.62601595100057</v>
      </c>
      <c r="BJ67" s="71">
        <v>940.77430652517194</v>
      </c>
      <c r="BK67" s="71">
        <v>943.00005920216688</v>
      </c>
      <c r="BL67" s="71">
        <v>945.30327398198528</v>
      </c>
      <c r="BM67" s="71">
        <v>947.68395086462715</v>
      </c>
      <c r="BN67" s="71">
        <v>950.14208985009259</v>
      </c>
      <c r="BO67" s="71">
        <v>952.67769093838149</v>
      </c>
      <c r="BP67" s="71">
        <v>955.29075412949385</v>
      </c>
      <c r="BQ67" s="71">
        <v>957.98127942342978</v>
      </c>
      <c r="BR67" s="71">
        <v>960.74926682018906</v>
      </c>
      <c r="BS67" s="71">
        <v>963.59471631977192</v>
      </c>
      <c r="BT67" s="71">
        <v>966.51762792217824</v>
      </c>
      <c r="BU67" s="71">
        <v>969.51800162740813</v>
      </c>
      <c r="BV67" s="71">
        <v>972.59583743546148</v>
      </c>
      <c r="BW67" s="71">
        <v>975.75113534633829</v>
      </c>
      <c r="BX67" s="71">
        <v>978.98389536003856</v>
      </c>
      <c r="BY67" s="71">
        <v>982.29411747656241</v>
      </c>
      <c r="BZ67" s="71">
        <v>985.68180169590983</v>
      </c>
      <c r="CA67" s="71">
        <v>989.14694801808059</v>
      </c>
      <c r="CB67" s="71">
        <v>992.68955644307493</v>
      </c>
      <c r="CC67" s="71">
        <v>996.30962697089274</v>
      </c>
      <c r="CD67" s="71">
        <v>1000.007159601534</v>
      </c>
      <c r="CE67" s="71">
        <v>1003.7821543349988</v>
      </c>
      <c r="CF67" s="71">
        <v>1007.6346111712871</v>
      </c>
      <c r="CG67" s="71">
        <v>1011.5645301103989</v>
      </c>
      <c r="CH67" s="71">
        <v>1015.5719111523342</v>
      </c>
      <c r="CI67" s="71">
        <v>1019.6567542970929</v>
      </c>
      <c r="CJ67" s="71">
        <v>1023.8190595446752</v>
      </c>
      <c r="CK67" s="71">
        <v>1028.058826895081</v>
      </c>
      <c r="CL67" s="71">
        <v>1032.3760563483104</v>
      </c>
      <c r="CM67" s="71">
        <v>1036.7707479043629</v>
      </c>
      <c r="CN67" s="71">
        <v>1041.2429015632392</v>
      </c>
      <c r="CO67" s="71">
        <v>1045.7925173249391</v>
      </c>
      <c r="CP67" s="71">
        <v>1050.4195951894621</v>
      </c>
      <c r="CQ67" s="71">
        <v>1055.124135156809</v>
      </c>
      <c r="CR67" s="71">
        <v>1059.9061372269794</v>
      </c>
      <c r="CS67" s="71">
        <v>1064.7656013999731</v>
      </c>
      <c r="CT67" s="71">
        <v>1069.7025276757902</v>
      </c>
      <c r="CU67" s="71">
        <v>1074.7169160544308</v>
      </c>
      <c r="CV67" s="71">
        <v>1079.8087665358951</v>
      </c>
      <c r="CW67" s="71">
        <v>1084.9780791201829</v>
      </c>
      <c r="CX67" s="71">
        <v>1090.224853807294</v>
      </c>
      <c r="CY67" s="71">
        <v>1095.5490905972288</v>
      </c>
      <c r="CZ67" s="71">
        <v>1100.9507894899868</v>
      </c>
      <c r="DA67" s="71">
        <v>1106.4299504855685</v>
      </c>
      <c r="DB67" s="71">
        <v>1111.9865735839737</v>
      </c>
      <c r="DC67" s="71">
        <v>1117.6206587852025</v>
      </c>
      <c r="DD67" s="71">
        <v>1123.3322060892547</v>
      </c>
      <c r="DE67" s="71">
        <v>1129.1212154961304</v>
      </c>
      <c r="DF67" s="71">
        <v>1134.9876870058295</v>
      </c>
      <c r="DG67" s="71">
        <v>1140.9316206183521</v>
      </c>
      <c r="DH67" s="71">
        <v>1146.9530163336983</v>
      </c>
      <c r="DI67" s="71">
        <v>1153.0518741518679</v>
      </c>
      <c r="DJ67" s="71">
        <v>1159.228194072861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-17.263987756453535</v>
      </c>
      <c r="P68" s="71">
        <v>-17.263987756453535</v>
      </c>
      <c r="Q68" s="71">
        <v>-17.237197232918167</v>
      </c>
      <c r="R68" s="71">
        <v>-17.138898069314717</v>
      </c>
      <c r="S68" s="71">
        <v>-16.968397313426241</v>
      </c>
      <c r="T68" s="71">
        <v>-16.725694965252739</v>
      </c>
      <c r="U68" s="71">
        <v>-16.410791024794207</v>
      </c>
      <c r="V68" s="71">
        <v>-16.02368549205065</v>
      </c>
      <c r="W68" s="71">
        <v>-15.564378367022067</v>
      </c>
      <c r="X68" s="71">
        <v>-15.032869649708458</v>
      </c>
      <c r="Y68" s="71">
        <v>-14.429159340109821</v>
      </c>
      <c r="Z68" s="71">
        <v>-13.753247438226159</v>
      </c>
      <c r="AA68" s="71">
        <v>-13.005133944057469</v>
      </c>
      <c r="AB68" s="71">
        <v>-12.184818857603753</v>
      </c>
      <c r="AC68" s="71">
        <v>-11.292302178865015</v>
      </c>
      <c r="AD68" s="71">
        <v>-10.327583907841246</v>
      </c>
      <c r="AE68" s="71">
        <v>-9.2906640445324538</v>
      </c>
      <c r="AF68" s="71">
        <v>-8.1815425889386315</v>
      </c>
      <c r="AG68" s="71">
        <v>-7.0002195410597849</v>
      </c>
      <c r="AH68" s="71">
        <v>-5.7466949008959141</v>
      </c>
      <c r="AI68" s="71">
        <v>-4.4209686684470135</v>
      </c>
      <c r="AJ68" s="71">
        <v>-3.0021392509370135</v>
      </c>
      <c r="AK68" s="71">
        <v>-1.4136771133147712</v>
      </c>
      <c r="AL68" s="71">
        <v>0.35147264925284305</v>
      </c>
      <c r="AM68" s="71">
        <v>2.2933100367658352</v>
      </c>
      <c r="AN68" s="71">
        <v>4.4118350492241927</v>
      </c>
      <c r="AO68" s="71">
        <v>6.7070476866279201</v>
      </c>
      <c r="AP68" s="71">
        <v>9.1789479489770205</v>
      </c>
      <c r="AQ68" s="71">
        <v>11.82753583627149</v>
      </c>
      <c r="AR68" s="71">
        <v>14.652811348511333</v>
      </c>
      <c r="AS68" s="71">
        <v>17.654774485696549</v>
      </c>
      <c r="AT68" s="71">
        <v>20.833425247827119</v>
      </c>
      <c r="AU68" s="71">
        <v>24.18876363490309</v>
      </c>
      <c r="AV68" s="71">
        <v>27.720789646924427</v>
      </c>
      <c r="AW68" s="71">
        <v>31.429503283891112</v>
      </c>
      <c r="AX68" s="71">
        <v>35.314904545803195</v>
      </c>
      <c r="AY68" s="71">
        <v>39.376993432660626</v>
      </c>
      <c r="AZ68" s="71">
        <v>43.615769944463452</v>
      </c>
      <c r="BA68" s="71">
        <v>48.031234081211615</v>
      </c>
      <c r="BB68" s="71">
        <v>52.623385842905186</v>
      </c>
      <c r="BC68" s="71">
        <v>57.392225229544096</v>
      </c>
      <c r="BD68" s="71">
        <v>62.337752241128413</v>
      </c>
      <c r="BE68" s="71">
        <v>67.459966877658061</v>
      </c>
      <c r="BF68" s="71">
        <v>72.758869139133111</v>
      </c>
      <c r="BG68" s="71">
        <v>78.234459025553505</v>
      </c>
      <c r="BH68" s="71">
        <v>83.886736536919315</v>
      </c>
      <c r="BI68" s="71">
        <v>89.715701673230441</v>
      </c>
      <c r="BJ68" s="71">
        <v>95.721354434486983</v>
      </c>
      <c r="BK68" s="71">
        <v>101.90369482068891</v>
      </c>
      <c r="BL68" s="71">
        <v>108.26272283183616</v>
      </c>
      <c r="BM68" s="71">
        <v>114.79843846792882</v>
      </c>
      <c r="BN68" s="71">
        <v>121.5108417289668</v>
      </c>
      <c r="BO68" s="71">
        <v>128.39993261495022</v>
      </c>
      <c r="BP68" s="71">
        <v>135.46571112587895</v>
      </c>
      <c r="BQ68" s="71">
        <v>142.70817726175309</v>
      </c>
      <c r="BR68" s="71">
        <v>150.12733102257258</v>
      </c>
      <c r="BS68" s="71">
        <v>157.72317240833743</v>
      </c>
      <c r="BT68" s="71">
        <v>165.49570141904766</v>
      </c>
      <c r="BU68" s="71">
        <v>173.44491805470329</v>
      </c>
      <c r="BV68" s="71">
        <v>181.57082231530424</v>
      </c>
      <c r="BW68" s="71">
        <v>189.87341420085065</v>
      </c>
      <c r="BX68" s="71">
        <v>198.35269371134234</v>
      </c>
      <c r="BY68" s="71">
        <v>207.00866084677938</v>
      </c>
      <c r="BZ68" s="71">
        <v>215.84131560716193</v>
      </c>
      <c r="CA68" s="71">
        <v>224.85065799248974</v>
      </c>
      <c r="CB68" s="71">
        <v>234.03668800276293</v>
      </c>
      <c r="CC68" s="71">
        <v>243.3994056379816</v>
      </c>
      <c r="CD68" s="71">
        <v>252.93881089814556</v>
      </c>
      <c r="CE68" s="71">
        <v>262.65490378325484</v>
      </c>
      <c r="CF68" s="71">
        <v>272.54768429330949</v>
      </c>
      <c r="CG68" s="71">
        <v>282.61715242830962</v>
      </c>
      <c r="CH68" s="71">
        <v>292.86330818825502</v>
      </c>
      <c r="CI68" s="71">
        <v>303.28615157314584</v>
      </c>
      <c r="CJ68" s="71">
        <v>313.88568258298193</v>
      </c>
      <c r="CK68" s="71">
        <v>324.66190121776361</v>
      </c>
      <c r="CL68" s="71">
        <v>335.61480747749044</v>
      </c>
      <c r="CM68" s="71">
        <v>346.74440136216276</v>
      </c>
      <c r="CN68" s="71">
        <v>358.05068287178034</v>
      </c>
      <c r="CO68" s="71">
        <v>369.53365200634352</v>
      </c>
      <c r="CP68" s="71">
        <v>381.1933087658519</v>
      </c>
      <c r="CQ68" s="71">
        <v>393.02965315030565</v>
      </c>
      <c r="CR68" s="71">
        <v>405.04268515970489</v>
      </c>
      <c r="CS68" s="71">
        <v>417.23240479404939</v>
      </c>
      <c r="CT68" s="71">
        <v>429.59881205333926</v>
      </c>
      <c r="CU68" s="71">
        <v>442.14190693757445</v>
      </c>
      <c r="CV68" s="71">
        <v>454.86168944675524</v>
      </c>
      <c r="CW68" s="71">
        <v>467.75815958088128</v>
      </c>
      <c r="CX68" s="71">
        <v>480.83131733995253</v>
      </c>
      <c r="CY68" s="71">
        <v>494.08116272396927</v>
      </c>
      <c r="CZ68" s="71">
        <v>507.50769573293132</v>
      </c>
      <c r="DA68" s="71">
        <v>521.11091636683875</v>
      </c>
      <c r="DB68" s="71">
        <v>534.89082462569149</v>
      </c>
      <c r="DC68" s="71">
        <v>548.84742050948978</v>
      </c>
      <c r="DD68" s="71">
        <v>562.98070401823372</v>
      </c>
      <c r="DE68" s="71">
        <v>577.29067515192264</v>
      </c>
      <c r="DF68" s="71">
        <v>591.77733391055688</v>
      </c>
      <c r="DG68" s="71">
        <v>606.44068029413654</v>
      </c>
      <c r="DH68" s="71">
        <v>621.28071430266152</v>
      </c>
      <c r="DI68" s="71">
        <v>636.29743593613205</v>
      </c>
      <c r="DJ68" s="71">
        <v>651.49084519454766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608.52481455260624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39.069960519007097</v>
      </c>
      <c r="K85" s="79">
        <v>913.57088138599124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-193.75943446260828</v>
      </c>
      <c r="K86" s="79">
        <v>908.80770547966517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910925.14894796233</v>
      </c>
      <c r="J89" s="80">
        <v>4.6818238975020285E-2</v>
      </c>
      <c r="K89" s="80">
        <v>5.3492703302804618E-7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910479.69742663426</v>
      </c>
      <c r="J90" s="80">
        <v>1.7258431328583623E-2</v>
      </c>
      <c r="K90" s="80">
        <v>4.4535718677260485E-8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908807.70547966519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-3.9156520073158405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608.52481455260624</v>
      </c>
      <c r="K114" s="79">
        <v>597.97682682289371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39.069960519007097</v>
      </c>
      <c r="K115" s="79">
        <v>13.220982611692687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-193.75943446260828</v>
      </c>
      <c r="K116" s="79">
        <v>-17.263987756453535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2.1102237659185197</v>
      </c>
      <c r="J119" s="80">
        <v>2.3671010100669368E-4</v>
      </c>
      <c r="K119" s="80">
        <v>1.220144864904601E-9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1.4548015169638666</v>
      </c>
      <c r="J120" s="80">
        <v>1.9321680335550068E-4</v>
      </c>
      <c r="K120" s="80">
        <v>4.9859972984383301E-10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-17.263987756453535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0.4993626397773579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2.8607432303034095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609.55648707118439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19.40328428753568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1572.3994283968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1.0565574917052445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-163.62043446260827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-163.62043446260827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5.1595651187544257E-2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90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1.4573907278155718E-2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0.16316220883997412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C.4.7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0.37048459303411457</v>
      </c>
      <c r="K169" s="93" t="s">
        <v>84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6" priority="3" stopIfTrue="1" operator="between">
      <formula>0</formula>
      <formula>1</formula>
    </cfRule>
  </conditionalFormatting>
  <conditionalFormatting sqref="K94">
    <cfRule type="cellIs" dxfId="5" priority="2" stopIfTrue="1" operator="between">
      <formula>0</formula>
      <formula>1</formula>
    </cfRule>
  </conditionalFormatting>
  <conditionalFormatting sqref="K124">
    <cfRule type="cellIs" dxfId="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2"/>
  <sheetViews>
    <sheetView showGridLines="0" zoomScaleNormal="100" workbookViewId="0">
      <pane ySplit="1" topLeftCell="A162" activePane="bottomLeft" state="frozen"/>
      <selection pane="bottomLeft" activeCell="J169" sqref="J16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5"/>
      <c r="C5" s="176"/>
      <c r="D5" s="176"/>
      <c r="E5" s="176"/>
      <c r="F5" s="176"/>
      <c r="G5" s="17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5"/>
      <c r="C6" s="176"/>
      <c r="D6" s="176"/>
      <c r="E6" s="176"/>
      <c r="F6" s="176"/>
      <c r="G6" s="17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5"/>
      <c r="C7" s="176"/>
      <c r="D7" s="176"/>
      <c r="E7" s="176"/>
      <c r="F7" s="176"/>
      <c r="G7" s="17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5"/>
      <c r="C8" s="176"/>
      <c r="D8" s="176"/>
      <c r="E8" s="176"/>
      <c r="F8" s="176"/>
      <c r="G8" s="17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5"/>
      <c r="C9" s="176"/>
      <c r="D9" s="176"/>
      <c r="E9" s="176"/>
      <c r="F9" s="176"/>
      <c r="G9" s="17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8" t="s">
        <v>99</v>
      </c>
      <c r="C13" s="178"/>
      <c r="D13" s="180" t="str">
        <f>PyFlange_Gap30deg!D13</f>
        <v>SP2200052</v>
      </c>
      <c r="E13" s="180"/>
      <c r="F13" s="180"/>
      <c r="G13" s="180"/>
      <c r="H13" s="180"/>
      <c r="I13" s="180"/>
      <c r="J13" s="180"/>
      <c r="K13" s="180"/>
      <c r="L13" s="86"/>
    </row>
    <row r="14" spans="1:15" s="85" customFormat="1" ht="20.100000000000001" customHeight="1" outlineLevel="1">
      <c r="A14" s="87"/>
      <c r="B14" s="178" t="s">
        <v>98</v>
      </c>
      <c r="C14" s="178"/>
      <c r="D14" s="180" t="str">
        <f>PyFlange_Gap30deg!D14</f>
        <v>Stichting GROW</v>
      </c>
      <c r="E14" s="180"/>
      <c r="F14" s="180"/>
      <c r="G14" s="180"/>
      <c r="H14" s="180"/>
      <c r="I14" s="180"/>
      <c r="J14" s="180"/>
      <c r="K14" s="180"/>
      <c r="L14" s="86"/>
    </row>
    <row r="15" spans="1:15" s="85" customFormat="1" ht="20.100000000000001" customHeight="1" outlineLevel="1">
      <c r="A15" s="87"/>
      <c r="B15" s="178" t="s">
        <v>97</v>
      </c>
      <c r="C15" s="178"/>
      <c r="D15" s="180" t="str">
        <f>PyFlange_Gap30deg!D15</f>
        <v>Bolt and Beautiful</v>
      </c>
      <c r="E15" s="180"/>
      <c r="F15" s="180"/>
      <c r="G15" s="180"/>
      <c r="H15" s="180"/>
      <c r="I15" s="180"/>
      <c r="J15" s="180"/>
      <c r="K15" s="180"/>
      <c r="L15" s="86"/>
    </row>
    <row r="16" spans="1:15" s="85" customFormat="1" ht="20.100000000000001" customHeight="1" outlineLevel="1">
      <c r="A16" s="87"/>
      <c r="B16" s="178" t="s">
        <v>96</v>
      </c>
      <c r="C16" s="178"/>
      <c r="D16" s="180" t="str">
        <f>Title</f>
        <v>Flange Segment Analytical Model for 120° gap size</v>
      </c>
      <c r="E16" s="180"/>
      <c r="F16" s="180"/>
      <c r="G16" s="180"/>
      <c r="H16" s="180"/>
      <c r="I16" s="180"/>
      <c r="J16" s="180"/>
      <c r="K16" s="180"/>
      <c r="L16" s="86"/>
      <c r="M16" s="88"/>
    </row>
    <row r="17" spans="1:22" s="85" customFormat="1" ht="20.100000000000001" customHeight="1" outlineLevel="1">
      <c r="A17" s="87"/>
      <c r="B17" s="178" t="s">
        <v>95</v>
      </c>
      <c r="C17" s="178"/>
      <c r="D17" s="180" t="str">
        <f>PyFlange_Gap30deg!D17</f>
        <v>0.10</v>
      </c>
      <c r="E17" s="180"/>
      <c r="F17" s="180"/>
      <c r="G17" s="180"/>
      <c r="H17" s="180"/>
      <c r="I17" s="180"/>
      <c r="J17" s="180"/>
      <c r="K17" s="180"/>
      <c r="L17" s="86"/>
    </row>
    <row r="18" spans="1:22" s="85" customFormat="1" ht="20.100000000000001" customHeight="1" outlineLevel="1">
      <c r="A18" s="87"/>
      <c r="B18" s="178" t="s">
        <v>94</v>
      </c>
      <c r="C18" s="178"/>
      <c r="D18" s="179">
        <f>PyFlange_Gap30deg!D18</f>
        <v>45432</v>
      </c>
      <c r="E18" s="179"/>
      <c r="F18" s="179"/>
      <c r="G18" s="179"/>
      <c r="H18" s="179"/>
      <c r="I18" s="179"/>
      <c r="J18" s="179"/>
      <c r="K18" s="179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5"/>
      <c r="C28" s="186"/>
      <c r="D28" s="186"/>
      <c r="E28" s="186"/>
      <c r="F28" s="186"/>
      <c r="G28" s="186"/>
      <c r="H28" s="186"/>
      <c r="I28" s="186"/>
      <c r="J28" s="186"/>
      <c r="K28" s="18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-186.23582141459764</v>
      </c>
      <c r="P66" s="71">
        <v>-177.85021754939183</v>
      </c>
      <c r="Q66" s="71">
        <v>-169.46461368418599</v>
      </c>
      <c r="R66" s="71">
        <v>-161.07900981898018</v>
      </c>
      <c r="S66" s="71">
        <v>-152.69340595377437</v>
      </c>
      <c r="T66" s="71">
        <v>-144.30780208856856</v>
      </c>
      <c r="U66" s="71">
        <v>-135.92219822336273</v>
      </c>
      <c r="V66" s="71">
        <v>-127.53659435815693</v>
      </c>
      <c r="W66" s="71">
        <v>-119.15099049295111</v>
      </c>
      <c r="X66" s="71">
        <v>-110.76538662774529</v>
      </c>
      <c r="Y66" s="71">
        <v>-102.37978276253949</v>
      </c>
      <c r="Z66" s="71">
        <v>-93.994178897333668</v>
      </c>
      <c r="AA66" s="71">
        <v>-85.608575032127845</v>
      </c>
      <c r="AB66" s="71">
        <v>-77.222971166922036</v>
      </c>
      <c r="AC66" s="71">
        <v>-68.837367301716228</v>
      </c>
      <c r="AD66" s="71">
        <v>-60.451763436510419</v>
      </c>
      <c r="AE66" s="71">
        <v>-52.066159571304595</v>
      </c>
      <c r="AF66" s="71">
        <v>-43.680555706098794</v>
      </c>
      <c r="AG66" s="71">
        <v>-35.294951840892956</v>
      </c>
      <c r="AH66" s="71">
        <v>-26.909347975687155</v>
      </c>
      <c r="AI66" s="71">
        <v>-18.523744110481349</v>
      </c>
      <c r="AJ66" s="71">
        <v>-10.138140245275514</v>
      </c>
      <c r="AK66" s="71">
        <v>-1.7525363800697087</v>
      </c>
      <c r="AL66" s="71">
        <v>6.6330674851360962</v>
      </c>
      <c r="AM66" s="71">
        <v>15.018671350341931</v>
      </c>
      <c r="AN66" s="71">
        <v>23.404275215547734</v>
      </c>
      <c r="AO66" s="71">
        <v>31.78987908075354</v>
      </c>
      <c r="AP66" s="71">
        <v>40.175482945959345</v>
      </c>
      <c r="AQ66" s="71">
        <v>48.561086811165183</v>
      </c>
      <c r="AR66" s="71">
        <v>56.946690676370984</v>
      </c>
      <c r="AS66" s="71">
        <v>65.332294541576786</v>
      </c>
      <c r="AT66" s="71">
        <v>73.717898406782624</v>
      </c>
      <c r="AU66" s="71">
        <v>82.103502271988432</v>
      </c>
      <c r="AV66" s="71">
        <v>90.48910613719427</v>
      </c>
      <c r="AW66" s="71">
        <v>98.874710002400036</v>
      </c>
      <c r="AX66" s="71">
        <v>107.26031386760587</v>
      </c>
      <c r="AY66" s="71">
        <v>115.64591773281171</v>
      </c>
      <c r="AZ66" s="71">
        <v>124.03152159801748</v>
      </c>
      <c r="BA66" s="71">
        <v>132.41712546322333</v>
      </c>
      <c r="BB66" s="71">
        <v>140.80272932842917</v>
      </c>
      <c r="BC66" s="71">
        <v>149.18833319363492</v>
      </c>
      <c r="BD66" s="71">
        <v>157.57393705884076</v>
      </c>
      <c r="BE66" s="71">
        <v>165.95954092404659</v>
      </c>
      <c r="BF66" s="71">
        <v>174.34514478925237</v>
      </c>
      <c r="BG66" s="71">
        <v>182.73074865445821</v>
      </c>
      <c r="BH66" s="71">
        <v>191.11635251966405</v>
      </c>
      <c r="BI66" s="71">
        <v>199.50195638486983</v>
      </c>
      <c r="BJ66" s="71">
        <v>207.88756025007564</v>
      </c>
      <c r="BK66" s="71">
        <v>216.27316411528147</v>
      </c>
      <c r="BL66" s="71">
        <v>224.65876798048726</v>
      </c>
      <c r="BM66" s="71">
        <v>233.04437184569309</v>
      </c>
      <c r="BN66" s="71">
        <v>241.42997571089887</v>
      </c>
      <c r="BO66" s="71">
        <v>249.81557957610471</v>
      </c>
      <c r="BP66" s="71">
        <v>258.20118344131055</v>
      </c>
      <c r="BQ66" s="71">
        <v>266.58678730651633</v>
      </c>
      <c r="BR66" s="71">
        <v>274.97239117172217</v>
      </c>
      <c r="BS66" s="71">
        <v>283.357995036928</v>
      </c>
      <c r="BT66" s="71">
        <v>291.74359890213378</v>
      </c>
      <c r="BU66" s="71">
        <v>300.12920276733962</v>
      </c>
      <c r="BV66" s="71">
        <v>308.5148066325454</v>
      </c>
      <c r="BW66" s="71">
        <v>316.90041049775118</v>
      </c>
      <c r="BX66" s="71">
        <v>325.28601436295702</v>
      </c>
      <c r="BY66" s="71">
        <v>333.67161822816286</v>
      </c>
      <c r="BZ66" s="71">
        <v>342.05722209336869</v>
      </c>
      <c r="CA66" s="71">
        <v>350.44282595857447</v>
      </c>
      <c r="CB66" s="71">
        <v>358.82842982378025</v>
      </c>
      <c r="CC66" s="71">
        <v>367.21403368898615</v>
      </c>
      <c r="CD66" s="71">
        <v>375.59963755419193</v>
      </c>
      <c r="CE66" s="71">
        <v>383.98524141939771</v>
      </c>
      <c r="CF66" s="71">
        <v>392.3708452846036</v>
      </c>
      <c r="CG66" s="71">
        <v>400.75644914980938</v>
      </c>
      <c r="CH66" s="71">
        <v>409.14205301501516</v>
      </c>
      <c r="CI66" s="71">
        <v>417.52765688022106</v>
      </c>
      <c r="CJ66" s="71">
        <v>425.91326074542684</v>
      </c>
      <c r="CK66" s="71">
        <v>434.29886461063256</v>
      </c>
      <c r="CL66" s="71">
        <v>442.68446847583846</v>
      </c>
      <c r="CM66" s="71">
        <v>451.07007234104424</v>
      </c>
      <c r="CN66" s="71">
        <v>459.45567620625002</v>
      </c>
      <c r="CO66" s="71">
        <v>467.84128007145591</v>
      </c>
      <c r="CP66" s="71">
        <v>476.22688393666169</v>
      </c>
      <c r="CQ66" s="71">
        <v>484.61248780186747</v>
      </c>
      <c r="CR66" s="71">
        <v>492.99809166707337</v>
      </c>
      <c r="CS66" s="71">
        <v>501.38369553227915</v>
      </c>
      <c r="CT66" s="71">
        <v>509.76929939748493</v>
      </c>
      <c r="CU66" s="71">
        <v>518.15490326269082</v>
      </c>
      <c r="CV66" s="71">
        <v>526.5405071278966</v>
      </c>
      <c r="CW66" s="71">
        <v>534.92611099310238</v>
      </c>
      <c r="CX66" s="71">
        <v>543.31171485830816</v>
      </c>
      <c r="CY66" s="71">
        <v>551.69731872351394</v>
      </c>
      <c r="CZ66" s="71">
        <v>560.08292258871973</v>
      </c>
      <c r="DA66" s="71">
        <v>568.46852645392573</v>
      </c>
      <c r="DB66" s="71">
        <v>576.85413031913151</v>
      </c>
      <c r="DC66" s="71">
        <v>585.23973418433729</v>
      </c>
      <c r="DD66" s="71">
        <v>593.62533804954307</v>
      </c>
      <c r="DE66" s="71">
        <v>602.01094191474886</v>
      </c>
      <c r="DF66" s="71">
        <v>610.39654577995464</v>
      </c>
      <c r="DG66" s="71">
        <v>618.78214964516064</v>
      </c>
      <c r="DH66" s="71">
        <v>627.16775351036642</v>
      </c>
      <c r="DI66" s="71">
        <v>635.5533573755722</v>
      </c>
      <c r="DJ66" s="71">
        <v>643.93896124077799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909.27307325486152</v>
      </c>
      <c r="P67" s="71">
        <v>909.27307325486152</v>
      </c>
      <c r="Q67" s="71">
        <v>909.27516771950843</v>
      </c>
      <c r="R67" s="71">
        <v>909.2819707162779</v>
      </c>
      <c r="S67" s="71">
        <v>909.29349006118139</v>
      </c>
      <c r="T67" s="71">
        <v>909.30972575421856</v>
      </c>
      <c r="U67" s="71">
        <v>909.33067779538965</v>
      </c>
      <c r="V67" s="71">
        <v>909.35634618469464</v>
      </c>
      <c r="W67" s="71">
        <v>909.38673092213355</v>
      </c>
      <c r="X67" s="71">
        <v>909.42183200770614</v>
      </c>
      <c r="Y67" s="71">
        <v>909.46164944141276</v>
      </c>
      <c r="Z67" s="71">
        <v>909.50618322325329</v>
      </c>
      <c r="AA67" s="71">
        <v>909.55543335322761</v>
      </c>
      <c r="AB67" s="71">
        <v>909.60939983133562</v>
      </c>
      <c r="AC67" s="71">
        <v>909.66808265757766</v>
      </c>
      <c r="AD67" s="71">
        <v>909.7314818319536</v>
      </c>
      <c r="AE67" s="71">
        <v>909.79959735446346</v>
      </c>
      <c r="AF67" s="71">
        <v>909.87242922510711</v>
      </c>
      <c r="AG67" s="71">
        <v>909.94997744388445</v>
      </c>
      <c r="AH67" s="71">
        <v>910.03746419833305</v>
      </c>
      <c r="AI67" s="71">
        <v>910.18676875907818</v>
      </c>
      <c r="AJ67" s="71">
        <v>910.41120053305758</v>
      </c>
      <c r="AK67" s="71">
        <v>910.71075952027104</v>
      </c>
      <c r="AL67" s="71">
        <v>911.08544572071889</v>
      </c>
      <c r="AM67" s="71">
        <v>911.53525913440114</v>
      </c>
      <c r="AN67" s="71">
        <v>912.06019976131745</v>
      </c>
      <c r="AO67" s="71">
        <v>912.66026760146815</v>
      </c>
      <c r="AP67" s="71">
        <v>913.33546265485313</v>
      </c>
      <c r="AQ67" s="71">
        <v>914.08578492147228</v>
      </c>
      <c r="AR67" s="71">
        <v>914.91123440132571</v>
      </c>
      <c r="AS67" s="71">
        <v>915.81181109441343</v>
      </c>
      <c r="AT67" s="71">
        <v>916.78751500073543</v>
      </c>
      <c r="AU67" s="71">
        <v>917.83834612029159</v>
      </c>
      <c r="AV67" s="71">
        <v>918.96430445308215</v>
      </c>
      <c r="AW67" s="71">
        <v>920.16538999910699</v>
      </c>
      <c r="AX67" s="71">
        <v>921.441602758366</v>
      </c>
      <c r="AY67" s="71">
        <v>922.79294273085929</v>
      </c>
      <c r="AZ67" s="71">
        <v>924.21940991658687</v>
      </c>
      <c r="BA67" s="71">
        <v>925.72100431554873</v>
      </c>
      <c r="BB67" s="71">
        <v>927.29772592774475</v>
      </c>
      <c r="BC67" s="71">
        <v>928.94957475317517</v>
      </c>
      <c r="BD67" s="71">
        <v>930.67655079183987</v>
      </c>
      <c r="BE67" s="71">
        <v>932.47865404373874</v>
      </c>
      <c r="BF67" s="71">
        <v>934.35588450887178</v>
      </c>
      <c r="BG67" s="71">
        <v>936.30824218723922</v>
      </c>
      <c r="BH67" s="71">
        <v>938.33572707884093</v>
      </c>
      <c r="BI67" s="71">
        <v>940.43833918367682</v>
      </c>
      <c r="BJ67" s="71">
        <v>942.6160785017471</v>
      </c>
      <c r="BK67" s="71">
        <v>944.86894503305166</v>
      </c>
      <c r="BL67" s="71">
        <v>947.19693877759039</v>
      </c>
      <c r="BM67" s="71">
        <v>949.6000597353634</v>
      </c>
      <c r="BN67" s="71">
        <v>952.07830790637058</v>
      </c>
      <c r="BO67" s="71">
        <v>954.63168329061216</v>
      </c>
      <c r="BP67" s="71">
        <v>957.2601858880879</v>
      </c>
      <c r="BQ67" s="71">
        <v>959.96381569879804</v>
      </c>
      <c r="BR67" s="71">
        <v>962.74257272274235</v>
      </c>
      <c r="BS67" s="71">
        <v>965.59645695992094</v>
      </c>
      <c r="BT67" s="71">
        <v>968.52546841033381</v>
      </c>
      <c r="BU67" s="71">
        <v>971.52960707398097</v>
      </c>
      <c r="BV67" s="71">
        <v>974.60887295086241</v>
      </c>
      <c r="BW67" s="71">
        <v>977.76326604097801</v>
      </c>
      <c r="BX67" s="71">
        <v>980.99278634432801</v>
      </c>
      <c r="BY67" s="71">
        <v>984.29743386091207</v>
      </c>
      <c r="BZ67" s="71">
        <v>987.67720859073052</v>
      </c>
      <c r="CA67" s="71">
        <v>991.13211053378336</v>
      </c>
      <c r="CB67" s="71">
        <v>994.66213969007026</v>
      </c>
      <c r="CC67" s="71">
        <v>998.26729605959156</v>
      </c>
      <c r="CD67" s="71">
        <v>1001.947579642347</v>
      </c>
      <c r="CE67" s="71">
        <v>1005.7029904383369</v>
      </c>
      <c r="CF67" s="71">
        <v>1009.5335284475608</v>
      </c>
      <c r="CG67" s="71">
        <v>1013.4391936700191</v>
      </c>
      <c r="CH67" s="71">
        <v>1017.4199861057117</v>
      </c>
      <c r="CI67" s="71">
        <v>1021.4759057546386</v>
      </c>
      <c r="CJ67" s="71">
        <v>1025.6069526167996</v>
      </c>
      <c r="CK67" s="71">
        <v>1029.8131266921951</v>
      </c>
      <c r="CL67" s="71">
        <v>1034.0944279808248</v>
      </c>
      <c r="CM67" s="71">
        <v>1038.4508564826886</v>
      </c>
      <c r="CN67" s="71">
        <v>1042.8824121977868</v>
      </c>
      <c r="CO67" s="71">
        <v>1047.3890951261192</v>
      </c>
      <c r="CP67" s="71">
        <v>1051.9709052676858</v>
      </c>
      <c r="CQ67" s="71">
        <v>1056.6278426224869</v>
      </c>
      <c r="CR67" s="71">
        <v>1061.3599071905221</v>
      </c>
      <c r="CS67" s="71">
        <v>1066.1670989717916</v>
      </c>
      <c r="CT67" s="71">
        <v>1071.0494179662953</v>
      </c>
      <c r="CU67" s="71">
        <v>1076.0068641740334</v>
      </c>
      <c r="CV67" s="71">
        <v>1081.0394375950057</v>
      </c>
      <c r="CW67" s="71">
        <v>1086.147138229212</v>
      </c>
      <c r="CX67" s="71">
        <v>1091.3299660766529</v>
      </c>
      <c r="CY67" s="71">
        <v>1096.5879211373281</v>
      </c>
      <c r="CZ67" s="71">
        <v>1101.9210034112371</v>
      </c>
      <c r="DA67" s="71">
        <v>1107.329212898381</v>
      </c>
      <c r="DB67" s="71">
        <v>1112.8125495987588</v>
      </c>
      <c r="DC67" s="71">
        <v>1118.3710135123708</v>
      </c>
      <c r="DD67" s="71">
        <v>1124.0046046392172</v>
      </c>
      <c r="DE67" s="71">
        <v>1129.713322979298</v>
      </c>
      <c r="DF67" s="71">
        <v>1135.4971685326127</v>
      </c>
      <c r="DG67" s="71">
        <v>1141.3561412991621</v>
      </c>
      <c r="DH67" s="71">
        <v>1147.2902412789454</v>
      </c>
      <c r="DI67" s="71">
        <v>1153.2994684719631</v>
      </c>
      <c r="DJ67" s="71">
        <v>1159.3838228782151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-15.413938771570281</v>
      </c>
      <c r="P68" s="71">
        <v>-15.413938771570281</v>
      </c>
      <c r="Q68" s="71">
        <v>-15.381040440377424</v>
      </c>
      <c r="R68" s="71">
        <v>-15.274183902520848</v>
      </c>
      <c r="S68" s="71">
        <v>-15.093246389766678</v>
      </c>
      <c r="T68" s="71">
        <v>-14.838227902114916</v>
      </c>
      <c r="U68" s="71">
        <v>-14.509128439565558</v>
      </c>
      <c r="V68" s="71">
        <v>-14.105948002118609</v>
      </c>
      <c r="W68" s="71">
        <v>-13.628686589774064</v>
      </c>
      <c r="X68" s="71">
        <v>-13.077344202531926</v>
      </c>
      <c r="Y68" s="71">
        <v>-12.451920840392196</v>
      </c>
      <c r="Z68" s="71">
        <v>-11.752416503354871</v>
      </c>
      <c r="AA68" s="71">
        <v>-10.978831191419953</v>
      </c>
      <c r="AB68" s="71">
        <v>-10.131164904587443</v>
      </c>
      <c r="AC68" s="71">
        <v>-9.2094176428573373</v>
      </c>
      <c r="AD68" s="71">
        <v>-8.2135894062296391</v>
      </c>
      <c r="AE68" s="71">
        <v>-7.1436801947043449</v>
      </c>
      <c r="AF68" s="71">
        <v>-5.9996900082814619</v>
      </c>
      <c r="AG68" s="71">
        <v>-4.7816188469609795</v>
      </c>
      <c r="AH68" s="71">
        <v>-3.4822516460233937</v>
      </c>
      <c r="AI68" s="71">
        <v>-2.0299111069242644</v>
      </c>
      <c r="AJ68" s="71">
        <v>-0.40620872259646235</v>
      </c>
      <c r="AK68" s="71">
        <v>1.3888555069599993</v>
      </c>
      <c r="AL68" s="71">
        <v>3.3552815817451265</v>
      </c>
      <c r="AM68" s="71">
        <v>5.4930695017589279</v>
      </c>
      <c r="AN68" s="71">
        <v>7.8022192670013863</v>
      </c>
      <c r="AO68" s="71">
        <v>10.282730877472511</v>
      </c>
      <c r="AP68" s="71">
        <v>12.934604333172302</v>
      </c>
      <c r="AQ68" s="71">
        <v>15.757839634100767</v>
      </c>
      <c r="AR68" s="71">
        <v>18.752436780257888</v>
      </c>
      <c r="AS68" s="71">
        <v>21.918395771643674</v>
      </c>
      <c r="AT68" s="71">
        <v>25.25571660825814</v>
      </c>
      <c r="AU68" s="71">
        <v>28.76439929010126</v>
      </c>
      <c r="AV68" s="71">
        <v>32.44444381717306</v>
      </c>
      <c r="AW68" s="71">
        <v>36.295850189473498</v>
      </c>
      <c r="AX68" s="71">
        <v>40.318618407002624</v>
      </c>
      <c r="AY68" s="71">
        <v>44.512748469760425</v>
      </c>
      <c r="AZ68" s="71">
        <v>48.878240377746856</v>
      </c>
      <c r="BA68" s="71">
        <v>53.415094130961982</v>
      </c>
      <c r="BB68" s="71">
        <v>58.123309729405776</v>
      </c>
      <c r="BC68" s="71">
        <v>63.002887173078207</v>
      </c>
      <c r="BD68" s="71">
        <v>68.053826461979327</v>
      </c>
      <c r="BE68" s="71">
        <v>73.276127596109134</v>
      </c>
      <c r="BF68" s="71">
        <v>78.669790575467559</v>
      </c>
      <c r="BG68" s="71">
        <v>84.234815400054671</v>
      </c>
      <c r="BH68" s="71">
        <v>89.971202069870472</v>
      </c>
      <c r="BI68" s="71">
        <v>95.87895058491489</v>
      </c>
      <c r="BJ68" s="71">
        <v>101.95806094518801</v>
      </c>
      <c r="BK68" s="71">
        <v>108.20853315068982</v>
      </c>
      <c r="BL68" s="71">
        <v>114.63036720142023</v>
      </c>
      <c r="BM68" s="71">
        <v>121.22356309737935</v>
      </c>
      <c r="BN68" s="71">
        <v>127.9881208385671</v>
      </c>
      <c r="BO68" s="71">
        <v>134.92404042498356</v>
      </c>
      <c r="BP68" s="71">
        <v>142.03132185662869</v>
      </c>
      <c r="BQ68" s="71">
        <v>149.30996513350243</v>
      </c>
      <c r="BR68" s="71">
        <v>156.75997025560488</v>
      </c>
      <c r="BS68" s="71">
        <v>164.381337222936</v>
      </c>
      <c r="BT68" s="71">
        <v>172.17406603549574</v>
      </c>
      <c r="BU68" s="71">
        <v>180.1381566932842</v>
      </c>
      <c r="BV68" s="71">
        <v>188.27360919630132</v>
      </c>
      <c r="BW68" s="71">
        <v>196.58042354454707</v>
      </c>
      <c r="BX68" s="71">
        <v>205.05859973802154</v>
      </c>
      <c r="BY68" s="71">
        <v>213.70813777672461</v>
      </c>
      <c r="BZ68" s="71">
        <v>222.5290376606564</v>
      </c>
      <c r="CA68" s="71">
        <v>231.52129938981679</v>
      </c>
      <c r="CB68" s="71">
        <v>240.68492296420587</v>
      </c>
      <c r="CC68" s="71">
        <v>250.01990838382372</v>
      </c>
      <c r="CD68" s="71">
        <v>259.52625564867014</v>
      </c>
      <c r="CE68" s="71">
        <v>269.20396475874514</v>
      </c>
      <c r="CF68" s="71">
        <v>279.05303571404903</v>
      </c>
      <c r="CG68" s="71">
        <v>289.07346851458141</v>
      </c>
      <c r="CH68" s="71">
        <v>299.26526316034244</v>
      </c>
      <c r="CI68" s="71">
        <v>309.62841965133225</v>
      </c>
      <c r="CJ68" s="71">
        <v>320.16293798755066</v>
      </c>
      <c r="CK68" s="71">
        <v>330.86881816899773</v>
      </c>
      <c r="CL68" s="71">
        <v>341.74606019567358</v>
      </c>
      <c r="CM68" s="71">
        <v>352.79466406757797</v>
      </c>
      <c r="CN68" s="71">
        <v>364.01462978471096</v>
      </c>
      <c r="CO68" s="71">
        <v>375.40595734707284</v>
      </c>
      <c r="CP68" s="71">
        <v>386.96864675466321</v>
      </c>
      <c r="CQ68" s="71">
        <v>398.70269800748224</v>
      </c>
      <c r="CR68" s="71">
        <v>410.60811110553016</v>
      </c>
      <c r="CS68" s="71">
        <v>422.6848860488065</v>
      </c>
      <c r="CT68" s="71">
        <v>434.93302283731151</v>
      </c>
      <c r="CU68" s="71">
        <v>447.35252147104541</v>
      </c>
      <c r="CV68" s="71">
        <v>459.94338195000785</v>
      </c>
      <c r="CW68" s="71">
        <v>472.70560427419883</v>
      </c>
      <c r="CX68" s="71">
        <v>485.63918844361854</v>
      </c>
      <c r="CY68" s="71">
        <v>498.7441344582669</v>
      </c>
      <c r="CZ68" s="71">
        <v>512.02044231814386</v>
      </c>
      <c r="DA68" s="71">
        <v>525.46811202325</v>
      </c>
      <c r="DB68" s="71">
        <v>539.08714357358429</v>
      </c>
      <c r="DC68" s="71">
        <v>552.87753696914729</v>
      </c>
      <c r="DD68" s="71">
        <v>566.839292209939</v>
      </c>
      <c r="DE68" s="71">
        <v>580.97240929595944</v>
      </c>
      <c r="DF68" s="71">
        <v>595.27688822720836</v>
      </c>
      <c r="DG68" s="71">
        <v>609.75272900368645</v>
      </c>
      <c r="DH68" s="71">
        <v>624.3999316253927</v>
      </c>
      <c r="DI68" s="71">
        <v>639.21849609232788</v>
      </c>
      <c r="DJ68" s="71">
        <v>654.20842240449156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613.27520118169321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38.285326891212712</v>
      </c>
      <c r="K85" s="79">
        <v>913.17671188050031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-177.36744896628343</v>
      </c>
      <c r="K86" s="79">
        <v>909.27307325486152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910782.85665140674</v>
      </c>
      <c r="J89" s="80">
        <v>4.2074929350636441E-2</v>
      </c>
      <c r="K89" s="80">
        <v>5.3419349928391595E-7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910328.07945863262</v>
      </c>
      <c r="J90" s="80">
        <v>1.1896277585540932E-2</v>
      </c>
      <c r="K90" s="80">
        <v>3.3535684407916213E-8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909273.07325486152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-3.995900825574874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613.27520118169321</v>
      </c>
      <c r="K114" s="79">
        <v>600.22691710797653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38.285326891212712</v>
      </c>
      <c r="K115" s="79">
        <v>12.321899431498428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-177.36744896628343</v>
      </c>
      <c r="K116" s="79">
        <v>-15.413938771570281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1.7856613410676705</v>
      </c>
      <c r="J119" s="80">
        <v>2.2855344566864212E-4</v>
      </c>
      <c r="K119" s="138">
        <v>1.2184717069300157E-9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1.1573332974240791</v>
      </c>
      <c r="J120" s="80">
        <v>1.8685809787053392E-4</v>
      </c>
      <c r="K120" s="80">
        <v>5.2675420140381738E-10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-15.413938771570281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0.44426272750754386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3.3809909737378794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386.8210402115991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6.1725267927708671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982.48391751092493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1.035338874468948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-147.22844896628345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-147.22844896628345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4.6426644218962108E-2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119.99999999999999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9.8748136008005583E-3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0.15510640811831464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75" t="str">
        <f>$A$124&amp;"."&amp;7</f>
        <v>D.4.7</v>
      </c>
      <c r="B168" s="12" t="s">
        <v>413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3"/>
    </row>
    <row r="169" spans="1:21" ht="20.100000000000001" customHeight="1">
      <c r="A169" s="9" t="s">
        <v>5</v>
      </c>
      <c r="B169" s="11" t="s">
        <v>414</v>
      </c>
      <c r="C169" s="11"/>
      <c r="D169" s="11"/>
      <c r="E169" s="11"/>
      <c r="F169" s="11"/>
      <c r="G169" s="11"/>
      <c r="H169" s="11"/>
      <c r="I169" s="10" t="s">
        <v>415</v>
      </c>
      <c r="J169" s="188">
        <v>0.34418835879034637</v>
      </c>
      <c r="K169" s="93" t="s">
        <v>84</v>
      </c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125"/>
      <c r="K175" s="60"/>
      <c r="L175" s="3"/>
    </row>
    <row r="176" spans="1:21" ht="20.100000000000001" customHeight="1">
      <c r="A176" s="9"/>
      <c r="B176" s="58"/>
      <c r="C176" s="58"/>
      <c r="D176" s="58"/>
      <c r="E176" s="58"/>
      <c r="F176" s="58"/>
      <c r="G176" s="58"/>
      <c r="H176" s="58"/>
      <c r="I176" s="59"/>
      <c r="J176" s="63"/>
      <c r="K176" s="60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78" spans="1:12" ht="20.1000000000000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3"/>
    </row>
    <row r="182" spans="1:12" ht="13.2">
      <c r="B182" s="69"/>
      <c r="C182" s="69"/>
      <c r="D182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3" priority="3" stopIfTrue="1" operator="between">
      <formula>0</formula>
      <formula>1</formula>
    </cfRule>
  </conditionalFormatting>
  <conditionalFormatting sqref="K94">
    <cfRule type="cellIs" dxfId="2" priority="2" stopIfTrue="1" operator="between">
      <formula>0</formula>
      <formula>1</formula>
    </cfRule>
  </conditionalFormatting>
  <conditionalFormatting sqref="K124">
    <cfRule type="cellIs" dxfId="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2F09-74DD-4B51-9F9B-3A6A91F02D5F}">
  <sheetPr>
    <tabColor theme="0" tint="-0.249977111117893"/>
  </sheetPr>
  <dimension ref="A1:AM1048558"/>
  <sheetViews>
    <sheetView showGridLines="0" topLeftCell="J1" zoomScaleNormal="100" workbookViewId="0">
      <pane ySplit="26" topLeftCell="A1193" activePane="bottomLeft" state="frozen"/>
      <selection pane="bottomLeft" activeCell="P16" sqref="P1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212</v>
      </c>
      <c r="I2" s="117" t="s">
        <v>280</v>
      </c>
      <c r="AD2" s="117" t="s">
        <v>409</v>
      </c>
    </row>
    <row r="4" spans="1:39">
      <c r="B4" s="117" t="s">
        <v>279</v>
      </c>
      <c r="U4" s="117" t="s">
        <v>396</v>
      </c>
      <c r="AD4" s="165">
        <f>COUNT(AD7:AD24)</f>
        <v>7</v>
      </c>
    </row>
    <row r="5" spans="1:39">
      <c r="I5" t="s">
        <v>395</v>
      </c>
      <c r="L5" s="153">
        <v>0</v>
      </c>
      <c r="M5" t="s">
        <v>394</v>
      </c>
      <c r="O5" s="117" t="s">
        <v>393</v>
      </c>
    </row>
    <row r="6" spans="1:39" ht="13.8">
      <c r="I6" t="s">
        <v>392</v>
      </c>
      <c r="J6">
        <v>1</v>
      </c>
      <c r="L6" s="152">
        <v>1</v>
      </c>
      <c r="O6" s="166" t="s">
        <v>391</v>
      </c>
      <c r="P6" s="110">
        <v>50</v>
      </c>
      <c r="U6" s="174" t="s">
        <v>390</v>
      </c>
      <c r="V6" s="108">
        <v>1</v>
      </c>
      <c r="W6" t="s">
        <v>389</v>
      </c>
      <c r="AD6" s="116" t="s">
        <v>408</v>
      </c>
      <c r="AE6" s="116" t="s">
        <v>407</v>
      </c>
      <c r="AF6" s="116" t="s">
        <v>406</v>
      </c>
      <c r="AG6" s="116" t="s">
        <v>405</v>
      </c>
      <c r="AH6" s="116" t="s">
        <v>91</v>
      </c>
      <c r="AI6" s="116" t="s">
        <v>404</v>
      </c>
      <c r="AJ6" s="116" t="s">
        <v>403</v>
      </c>
      <c r="AK6" s="116" t="s">
        <v>402</v>
      </c>
      <c r="AL6" s="103"/>
    </row>
    <row r="7" spans="1:39" ht="13.8">
      <c r="I7" t="s">
        <v>388</v>
      </c>
      <c r="L7" s="152">
        <v>0</v>
      </c>
      <c r="O7" s="166" t="s">
        <v>387</v>
      </c>
      <c r="P7" s="110">
        <v>0.1</v>
      </c>
      <c r="U7" s="174" t="s">
        <v>386</v>
      </c>
      <c r="V7" s="108">
        <v>1</v>
      </c>
      <c r="W7" t="s">
        <v>385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401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384</v>
      </c>
      <c r="P8" s="109">
        <v>0.95408705132867211</v>
      </c>
      <c r="U8" s="174" t="s">
        <v>383</v>
      </c>
      <c r="V8" s="108">
        <v>1</v>
      </c>
      <c r="W8" t="s">
        <v>382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401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381</v>
      </c>
      <c r="O9" s="166" t="s">
        <v>380</v>
      </c>
      <c r="P9" s="109">
        <v>43.367593242212365</v>
      </c>
      <c r="Q9" t="s">
        <v>379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401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378</v>
      </c>
      <c r="K10" s="168" t="s">
        <v>377</v>
      </c>
      <c r="L10" s="104">
        <v>238</v>
      </c>
      <c r="M10" s="168" t="s">
        <v>8</v>
      </c>
      <c r="O10" s="166" t="s">
        <v>376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401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375</v>
      </c>
      <c r="K11" s="172" t="s">
        <v>374</v>
      </c>
      <c r="L11" s="104">
        <v>28</v>
      </c>
      <c r="M11" s="172" t="s">
        <v>8</v>
      </c>
      <c r="O11" s="166" t="s">
        <v>373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400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372</v>
      </c>
      <c r="P12" s="110">
        <v>2000000</v>
      </c>
      <c r="U12" s="117" t="s">
        <v>371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400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370</v>
      </c>
      <c r="K13" s="168" t="s">
        <v>369</v>
      </c>
      <c r="L13" s="151">
        <v>48</v>
      </c>
      <c r="M13" s="168" t="s">
        <v>8</v>
      </c>
      <c r="O13" s="166" t="s">
        <v>368</v>
      </c>
      <c r="P13" s="109">
        <v>43.367593242212365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400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367</v>
      </c>
      <c r="K14" s="168" t="s">
        <v>366</v>
      </c>
      <c r="L14" s="151">
        <v>44.752499999999998</v>
      </c>
      <c r="M14" s="168" t="s">
        <v>8</v>
      </c>
      <c r="O14" s="166" t="s">
        <v>365</v>
      </c>
      <c r="P14" s="109">
        <v>1</v>
      </c>
      <c r="U14" s="171" t="s">
        <v>364</v>
      </c>
      <c r="V14" s="171" t="s">
        <v>363</v>
      </c>
      <c r="W14" s="171" t="s">
        <v>362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361</v>
      </c>
      <c r="K15" s="168" t="s">
        <v>360</v>
      </c>
      <c r="L15" s="151">
        <v>41.865812163333331</v>
      </c>
      <c r="M15" s="168" t="s">
        <v>8</v>
      </c>
      <c r="O15" s="166" t="s">
        <v>359</v>
      </c>
      <c r="P15" s="109">
        <v>1.1000000000000001</v>
      </c>
      <c r="U15" s="170" t="s">
        <v>358</v>
      </c>
      <c r="V15" s="170" t="s">
        <v>358</v>
      </c>
      <c r="W15" s="170" t="s">
        <v>121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357</v>
      </c>
      <c r="P16" s="109">
        <v>0.60099999999999998</v>
      </c>
      <c r="U16" s="144">
        <v>5.5881996300000004E-3</v>
      </c>
      <c r="V16" s="144">
        <v>-65215.4</v>
      </c>
      <c r="W16" s="143">
        <v>2.86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356</v>
      </c>
      <c r="K17" s="168" t="s">
        <v>355</v>
      </c>
      <c r="L17" s="150">
        <v>1473.1579837133568</v>
      </c>
      <c r="M17" s="168" t="s">
        <v>216</v>
      </c>
      <c r="U17" s="144">
        <v>5.5881996300000004E-3</v>
      </c>
      <c r="V17" s="144">
        <v>-58573.599999999999</v>
      </c>
      <c r="W17" s="143">
        <v>1.99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5.5881996300000004E-3</v>
      </c>
      <c r="V18" s="144">
        <v>-55252.7</v>
      </c>
      <c r="W18" s="143">
        <v>3.92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2003.6844703999998</v>
      </c>
      <c r="V19" s="144">
        <v>-55252.7</v>
      </c>
      <c r="W19" s="143">
        <v>3.27</v>
      </c>
    </row>
    <row r="20" spans="2:38">
      <c r="U20" s="144">
        <v>5.5881996300000004E-3</v>
      </c>
      <c r="V20" s="144">
        <v>-51931.7</v>
      </c>
      <c r="W20" s="143">
        <v>25.1</v>
      </c>
    </row>
    <row r="21" spans="2:38">
      <c r="U21" s="144">
        <v>2003.6844703999998</v>
      </c>
      <c r="V21" s="144">
        <v>-51931.7</v>
      </c>
      <c r="W21" s="143">
        <v>2.86</v>
      </c>
    </row>
    <row r="22" spans="2:38">
      <c r="U22" s="144">
        <v>5.5881996300000004E-3</v>
      </c>
      <c r="V22" s="144">
        <v>-48610.8</v>
      </c>
      <c r="W22" s="143">
        <v>20.22</v>
      </c>
    </row>
    <row r="23" spans="2:38">
      <c r="U23" s="144">
        <v>2003.6844703999998</v>
      </c>
      <c r="V23" s="144">
        <v>-48610.8</v>
      </c>
      <c r="W23" s="143">
        <v>2.0099999999999998</v>
      </c>
    </row>
    <row r="24" spans="2:38">
      <c r="U24" s="144">
        <v>5.5881996300000004E-3</v>
      </c>
      <c r="V24" s="144">
        <v>-45289.9</v>
      </c>
      <c r="W24" s="143">
        <v>19.18</v>
      </c>
    </row>
    <row r="25" spans="2:38">
      <c r="U25" s="144">
        <v>5.5881996300000004E-3</v>
      </c>
      <c r="V25" s="144">
        <v>-41969</v>
      </c>
      <c r="W25" s="143">
        <v>16.55</v>
      </c>
    </row>
    <row r="26" spans="2:38">
      <c r="B26" s="116" t="s">
        <v>211</v>
      </c>
      <c r="C26" s="116" t="s">
        <v>210</v>
      </c>
      <c r="D26" s="116" t="s">
        <v>209</v>
      </c>
      <c r="E26" s="116" t="s">
        <v>354</v>
      </c>
      <c r="F26" s="116" t="s">
        <v>208</v>
      </c>
      <c r="G26" s="115"/>
      <c r="H26" s="115"/>
      <c r="I26" s="116" t="s">
        <v>211</v>
      </c>
      <c r="J26" s="116" t="s">
        <v>210</v>
      </c>
      <c r="K26" s="116" t="s">
        <v>209</v>
      </c>
      <c r="L26" s="116" t="s">
        <v>278</v>
      </c>
      <c r="M26" s="116" t="s">
        <v>277</v>
      </c>
      <c r="N26" s="116" t="s">
        <v>276</v>
      </c>
      <c r="O26" s="116" t="s">
        <v>275</v>
      </c>
      <c r="U26" s="144">
        <v>2003.6844703999998</v>
      </c>
      <c r="V26" s="144">
        <v>-41969</v>
      </c>
      <c r="W26" s="143">
        <v>0.96</v>
      </c>
    </row>
    <row r="27" spans="2:38" ht="15.6">
      <c r="B27" s="106">
        <v>23</v>
      </c>
      <c r="C27" s="103" t="s">
        <v>195</v>
      </c>
      <c r="E27" s="104"/>
      <c r="F27" t="s">
        <v>207</v>
      </c>
      <c r="I27" s="106">
        <f>B27</f>
        <v>23</v>
      </c>
      <c r="J27" s="103" t="s">
        <v>195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5.5881996300000004E-3</v>
      </c>
      <c r="V27" s="144">
        <v>-38648.1</v>
      </c>
      <c r="W27" s="143">
        <v>24.24</v>
      </c>
    </row>
    <row r="28" spans="2:38" ht="15.6">
      <c r="B28" s="106">
        <f>B27+1</f>
        <v>24</v>
      </c>
      <c r="C28" s="105" t="s">
        <v>206</v>
      </c>
      <c r="D28" s="103" t="s">
        <v>126</v>
      </c>
      <c r="E28" s="107">
        <f>0.05*E34</f>
        <v>47.288017719282664</v>
      </c>
      <c r="F28" t="s">
        <v>205</v>
      </c>
      <c r="I28" s="106">
        <f>I27+1</f>
        <v>24</v>
      </c>
      <c r="J28" s="105" t="s">
        <v>206</v>
      </c>
      <c r="K28" s="103" t="s">
        <v>126</v>
      </c>
      <c r="L28" s="107">
        <v>47.288017719282664</v>
      </c>
      <c r="M28" s="107">
        <v>47.288017719282664</v>
      </c>
      <c r="N28" s="107">
        <v>47.288017719282664</v>
      </c>
      <c r="O28" s="107">
        <v>47.288017719282664</v>
      </c>
      <c r="P28" t="str">
        <f t="shared" si="2"/>
        <v>Simplified formula used, therefore not used directly (but reported here for info)</v>
      </c>
      <c r="U28" s="144">
        <v>2003.6844703999998</v>
      </c>
      <c r="V28" s="144">
        <v>-38648.1</v>
      </c>
      <c r="W28" s="143">
        <v>3.23</v>
      </c>
    </row>
    <row r="29" spans="2:38" ht="15.6">
      <c r="B29" s="106"/>
      <c r="C29" s="105" t="s">
        <v>204</v>
      </c>
      <c r="D29" s="103" t="s">
        <v>203</v>
      </c>
      <c r="E29" s="107">
        <v>900</v>
      </c>
      <c r="F29" t="s">
        <v>202</v>
      </c>
      <c r="I29" s="106"/>
      <c r="J29" s="105" t="s">
        <v>204</v>
      </c>
      <c r="K29" s="103" t="s">
        <v>203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5.5881996300000004E-3</v>
      </c>
      <c r="V29" s="144">
        <v>-35327.199999999997</v>
      </c>
      <c r="W29" s="143">
        <v>27.11</v>
      </c>
    </row>
    <row r="30" spans="2:38" ht="15.6">
      <c r="B30" s="106"/>
      <c r="C30" s="105" t="s">
        <v>201</v>
      </c>
      <c r="D30" s="103" t="s">
        <v>141</v>
      </c>
      <c r="E30" s="107">
        <v>1473.1579837133568</v>
      </c>
      <c r="F30" t="s">
        <v>329</v>
      </c>
      <c r="I30" s="106"/>
      <c r="J30" s="105" t="s">
        <v>201</v>
      </c>
      <c r="K30" s="103" t="s">
        <v>141</v>
      </c>
      <c r="L30" s="107">
        <v>1473.1579837133568</v>
      </c>
      <c r="M30" s="107">
        <v>1473.1579837133568</v>
      </c>
      <c r="N30" s="107">
        <v>1473.1579837133568</v>
      </c>
      <c r="O30" s="107">
        <v>1473.1579837133568</v>
      </c>
      <c r="P30" t="str">
        <f t="shared" si="2"/>
        <v>Stress area of bolt</v>
      </c>
      <c r="U30" s="144">
        <v>2003.6844703999998</v>
      </c>
      <c r="V30" s="144">
        <v>-35327.199999999997</v>
      </c>
      <c r="W30" s="143">
        <v>14.9</v>
      </c>
    </row>
    <row r="31" spans="2:38" ht="15.6">
      <c r="B31" s="106">
        <f>B28+1</f>
        <v>25</v>
      </c>
      <c r="C31" s="103" t="s">
        <v>195</v>
      </c>
      <c r="D31" s="103" t="s">
        <v>126</v>
      </c>
      <c r="E31" s="107">
        <v>910</v>
      </c>
      <c r="F31" t="s">
        <v>200</v>
      </c>
      <c r="I31" s="106">
        <f>I28+1</f>
        <v>25</v>
      </c>
      <c r="J31" s="103" t="s">
        <v>195</v>
      </c>
      <c r="K31" s="103" t="s">
        <v>126</v>
      </c>
      <c r="L31" s="107">
        <v>910</v>
      </c>
      <c r="M31" s="107">
        <v>910</v>
      </c>
      <c r="N31" s="107">
        <v>910</v>
      </c>
      <c r="O31" s="107">
        <v>910</v>
      </c>
      <c r="P31" t="str">
        <f t="shared" si="2"/>
        <v>Design value of preload, simplified formula</v>
      </c>
      <c r="U31" s="144">
        <v>4007.361206</v>
      </c>
      <c r="V31" s="144">
        <v>-35327.199999999997</v>
      </c>
      <c r="W31" s="143">
        <v>4.3600000000000003</v>
      </c>
    </row>
    <row r="32" spans="2:38" ht="15.6">
      <c r="B32" s="106"/>
      <c r="C32" s="103" t="s">
        <v>199</v>
      </c>
      <c r="D32" s="103" t="s">
        <v>126</v>
      </c>
      <c r="E32" s="107">
        <v>1020.8984827133563</v>
      </c>
      <c r="F32" t="s">
        <v>330</v>
      </c>
      <c r="I32" s="106"/>
      <c r="J32" s="103" t="s">
        <v>199</v>
      </c>
      <c r="K32" s="103" t="s">
        <v>126</v>
      </c>
      <c r="L32" s="107">
        <v>1020.8984827133563</v>
      </c>
      <c r="M32" s="107">
        <v>1020.8984827133563</v>
      </c>
      <c r="N32" s="107">
        <v>1020.8984827133563</v>
      </c>
      <c r="O32" s="107">
        <v>1020.8984827133563</v>
      </c>
      <c r="P32" t="str">
        <f t="shared" si="2"/>
        <v>Mean preload after installation</v>
      </c>
      <c r="U32" s="144">
        <v>6011.0379415999996</v>
      </c>
      <c r="V32" s="144">
        <v>-35327.199999999997</v>
      </c>
      <c r="W32" s="143">
        <v>1.26</v>
      </c>
    </row>
    <row r="33" spans="2:23" ht="15.6">
      <c r="B33" s="106"/>
      <c r="C33" s="103" t="s">
        <v>198</v>
      </c>
      <c r="D33" s="103" t="s">
        <v>121</v>
      </c>
      <c r="E33" s="109">
        <v>0.1</v>
      </c>
      <c r="F33" t="s">
        <v>331</v>
      </c>
      <c r="I33" s="106"/>
      <c r="J33" s="103" t="s">
        <v>198</v>
      </c>
      <c r="K33" s="103" t="s">
        <v>121</v>
      </c>
      <c r="L33" s="109">
        <v>0.1</v>
      </c>
      <c r="M33" s="109">
        <v>0.1</v>
      </c>
      <c r="N33" s="109">
        <v>0.1</v>
      </c>
      <c r="O33" s="109">
        <v>0.1</v>
      </c>
      <c r="P33" t="str">
        <f t="shared" si="2"/>
        <v>Coefficient of variation for preload</v>
      </c>
      <c r="U33" s="144">
        <v>5.5881996300000004E-3</v>
      </c>
      <c r="V33" s="144">
        <v>-32006.2</v>
      </c>
      <c r="W33" s="143">
        <v>39.369999999999997</v>
      </c>
    </row>
    <row r="34" spans="2:23" ht="15.6">
      <c r="B34" s="106"/>
      <c r="C34" s="103" t="s">
        <v>197</v>
      </c>
      <c r="D34" s="103" t="s">
        <v>126</v>
      </c>
      <c r="E34" s="107">
        <f>(1-0.736*E33)*E32</f>
        <v>945.76035438565327</v>
      </c>
      <c r="F34" t="s">
        <v>332</v>
      </c>
      <c r="I34" s="106"/>
      <c r="J34" s="103" t="s">
        <v>197</v>
      </c>
      <c r="K34" s="103" t="s">
        <v>126</v>
      </c>
      <c r="L34" s="107">
        <v>945.76035438565327</v>
      </c>
      <c r="M34" s="107">
        <v>945.76035438565327</v>
      </c>
      <c r="N34" s="107">
        <v>945.76035438565327</v>
      </c>
      <c r="O34" s="107">
        <v>945.76035438565327</v>
      </c>
      <c r="P34" t="str">
        <f t="shared" si="2"/>
        <v>Design preload averaged over 5 bolts (after installation, without preload losses)</v>
      </c>
      <c r="U34" s="144">
        <v>2003.6844703999998</v>
      </c>
      <c r="V34" s="144">
        <v>-32006.2</v>
      </c>
      <c r="W34" s="143">
        <v>12.17</v>
      </c>
    </row>
    <row r="35" spans="2:23" ht="15.6">
      <c r="B35" s="131">
        <f>B31+1</f>
        <v>26</v>
      </c>
      <c r="C35" s="130" t="s">
        <v>274</v>
      </c>
      <c r="D35" s="130" t="s">
        <v>126</v>
      </c>
      <c r="E35" s="129">
        <v>808.99913815980972</v>
      </c>
      <c r="F35" s="149" t="s">
        <v>412</v>
      </c>
      <c r="G35" s="132"/>
      <c r="H35" s="132"/>
      <c r="I35" s="131">
        <f>I31+1</f>
        <v>26</v>
      </c>
      <c r="J35" s="130" t="s">
        <v>274</v>
      </c>
      <c r="K35" s="130" t="s">
        <v>126</v>
      </c>
      <c r="L35" s="129">
        <v>808.99913815980972</v>
      </c>
      <c r="M35" s="129">
        <v>808.99913815980972</v>
      </c>
      <c r="N35" s="129">
        <v>808.99913815980972</v>
      </c>
      <c r="O35" s="129">
        <v>808.99913815980972</v>
      </c>
      <c r="P35" t="str">
        <f t="shared" si="2"/>
        <v>Design value capped to 90% Fp,C*: Yes</v>
      </c>
      <c r="U35" s="144">
        <v>4007.361206</v>
      </c>
      <c r="V35" s="144">
        <v>-32006.2</v>
      </c>
      <c r="W35" s="143">
        <v>7.3</v>
      </c>
    </row>
    <row r="36" spans="2:23" ht="15.6">
      <c r="B36" s="106"/>
      <c r="C36" s="105" t="s">
        <v>193</v>
      </c>
      <c r="D36" s="103" t="s">
        <v>273</v>
      </c>
      <c r="E36" s="114">
        <v>9.1986306542215614E-10</v>
      </c>
      <c r="I36" s="106"/>
      <c r="J36" s="105" t="s">
        <v>193</v>
      </c>
      <c r="K36" s="103" t="s">
        <v>273</v>
      </c>
      <c r="L36" s="114">
        <v>9.1986306542215614E-10</v>
      </c>
      <c r="M36" s="114">
        <v>9.1986306542215614E-10</v>
      </c>
      <c r="N36" s="114">
        <v>9.1986306542215614E-10</v>
      </c>
      <c r="O36" s="114">
        <v>9.1986306542215614E-10</v>
      </c>
      <c r="P36" t="str">
        <f t="shared" si="2"/>
        <v/>
      </c>
      <c r="U36" s="144">
        <v>6011.0379415999996</v>
      </c>
      <c r="V36" s="144">
        <v>-32006.2</v>
      </c>
      <c r="W36" s="143">
        <v>0.52</v>
      </c>
    </row>
    <row r="37" spans="2:23" ht="15.6">
      <c r="B37" s="106"/>
      <c r="C37" s="105" t="s">
        <v>192</v>
      </c>
      <c r="D37" s="103" t="s">
        <v>273</v>
      </c>
      <c r="E37" s="114">
        <v>1.5408931721752862E-10</v>
      </c>
      <c r="F37" s="148"/>
      <c r="I37" s="106"/>
      <c r="J37" s="105" t="s">
        <v>192</v>
      </c>
      <c r="K37" s="103" t="s">
        <v>273</v>
      </c>
      <c r="L37" s="114">
        <v>1.5408931721752862E-10</v>
      </c>
      <c r="M37" s="114">
        <v>1.5408931721752862E-10</v>
      </c>
      <c r="N37" s="114">
        <v>1.5408931721752862E-10</v>
      </c>
      <c r="O37" s="114">
        <v>1.5408931721752862E-10</v>
      </c>
      <c r="P37" t="str">
        <f t="shared" si="2"/>
        <v/>
      </c>
      <c r="U37" s="144">
        <v>5.5881996300000004E-3</v>
      </c>
      <c r="V37" s="144">
        <v>-28685.3</v>
      </c>
      <c r="W37" s="143">
        <v>70.05</v>
      </c>
    </row>
    <row r="38" spans="2:23">
      <c r="B38" s="106"/>
      <c r="C38" s="105" t="s">
        <v>191</v>
      </c>
      <c r="D38" s="103" t="s">
        <v>121</v>
      </c>
      <c r="E38" s="109">
        <v>0.1284830227486351</v>
      </c>
      <c r="I38" s="106"/>
      <c r="J38" s="105" t="s">
        <v>191</v>
      </c>
      <c r="K38" s="103" t="s">
        <v>121</v>
      </c>
      <c r="L38" s="109">
        <v>0.14347872373893336</v>
      </c>
      <c r="M38" s="109">
        <v>0.14347872373893336</v>
      </c>
      <c r="N38" s="109">
        <v>0.14347872373893336</v>
      </c>
      <c r="O38" s="109">
        <v>0.14347872373893336</v>
      </c>
      <c r="P38" t="str">
        <f t="shared" si="2"/>
        <v/>
      </c>
      <c r="U38" s="144">
        <v>2003.6844703999998</v>
      </c>
      <c r="V38" s="144">
        <v>-28685.3</v>
      </c>
      <c r="W38" s="143">
        <v>30.82</v>
      </c>
    </row>
    <row r="39" spans="2:23" ht="15.6">
      <c r="B39" s="106">
        <f>B35+1</f>
        <v>27</v>
      </c>
      <c r="C39" s="105" t="s">
        <v>190</v>
      </c>
      <c r="D39" s="103" t="s">
        <v>126</v>
      </c>
      <c r="E39" s="108">
        <v>89.473198506560863</v>
      </c>
      <c r="I39" s="106">
        <f>I35+1</f>
        <v>27</v>
      </c>
      <c r="J39" s="105" t="s">
        <v>190</v>
      </c>
      <c r="K39" s="103" t="s">
        <v>126</v>
      </c>
      <c r="L39" s="108">
        <v>89.473198506560863</v>
      </c>
      <c r="M39" s="108">
        <v>89.473198506560863</v>
      </c>
      <c r="N39" s="108">
        <v>89.473198506560863</v>
      </c>
      <c r="O39" s="108">
        <v>89.473198506560863</v>
      </c>
      <c r="P39" t="str">
        <f t="shared" si="2"/>
        <v/>
      </c>
      <c r="U39" s="144">
        <v>4007.361206</v>
      </c>
      <c r="V39" s="144">
        <v>-28685.3</v>
      </c>
      <c r="W39" s="143">
        <v>6.68</v>
      </c>
    </row>
    <row r="40" spans="2:23" ht="15.6">
      <c r="B40" s="106"/>
      <c r="C40" s="105" t="s">
        <v>189</v>
      </c>
      <c r="D40" s="103" t="s">
        <v>272</v>
      </c>
      <c r="E40" s="107">
        <v>500</v>
      </c>
      <c r="I40" s="106"/>
      <c r="J40" s="105" t="s">
        <v>189</v>
      </c>
      <c r="K40" s="103" t="s">
        <v>272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5.5881996300000004E-3</v>
      </c>
      <c r="V40" s="144">
        <v>-25364.400000000001</v>
      </c>
      <c r="W40" s="143">
        <v>81.349999999999994</v>
      </c>
    </row>
    <row r="41" spans="2:23" ht="15.6">
      <c r="B41" s="106">
        <f>B39+1</f>
        <v>28</v>
      </c>
      <c r="C41" s="103" t="s">
        <v>188</v>
      </c>
      <c r="D41" s="103" t="s">
        <v>272</v>
      </c>
      <c r="E41" s="107">
        <v>96.08995471851452</v>
      </c>
      <c r="F41" t="s">
        <v>333</v>
      </c>
      <c r="I41" s="106">
        <f>I39+1</f>
        <v>28</v>
      </c>
      <c r="J41" s="103" t="s">
        <v>188</v>
      </c>
      <c r="K41" s="103" t="s">
        <v>272</v>
      </c>
      <c r="L41" s="107">
        <v>96.08995471851452</v>
      </c>
      <c r="M41" s="107">
        <v>96.08995471851452</v>
      </c>
      <c r="N41" s="107">
        <v>96.08995471851452</v>
      </c>
      <c r="O41" s="107">
        <v>96.08995471851452</v>
      </c>
      <c r="P41" t="str">
        <f t="shared" si="2"/>
        <v>Including 50% reduction, when re-tightening is assumed (only for tension tightening)</v>
      </c>
      <c r="U41" s="144">
        <v>2003.6844703999998</v>
      </c>
      <c r="V41" s="144">
        <v>-25364.400000000001</v>
      </c>
      <c r="W41" s="143">
        <v>62.03</v>
      </c>
    </row>
    <row r="42" spans="2:23" ht="15.6">
      <c r="B42" s="106">
        <f>B41+1</f>
        <v>29</v>
      </c>
      <c r="C42" s="103" t="s">
        <v>186</v>
      </c>
      <c r="D42" s="103" t="s">
        <v>126</v>
      </c>
      <c r="E42" s="111">
        <v>1126.9658575407177</v>
      </c>
      <c r="I42" s="106">
        <f>I41+1</f>
        <v>29</v>
      </c>
      <c r="J42" s="103" t="s">
        <v>186</v>
      </c>
      <c r="K42" s="103" t="s">
        <v>126</v>
      </c>
      <c r="L42" s="111">
        <v>1126.9658575407177</v>
      </c>
      <c r="M42" s="111">
        <v>1126.9658575407177</v>
      </c>
      <c r="N42" s="111">
        <v>1126.9658575407177</v>
      </c>
      <c r="O42" s="111">
        <v>1126.9658575407177</v>
      </c>
      <c r="P42" t="str">
        <f t="shared" si="2"/>
        <v/>
      </c>
      <c r="U42" s="144">
        <v>4007.361206</v>
      </c>
      <c r="V42" s="144">
        <v>-25364.400000000001</v>
      </c>
      <c r="W42" s="143">
        <v>6.57</v>
      </c>
    </row>
    <row r="43" spans="2:23" ht="15.6">
      <c r="B43" s="106">
        <f>B42+1</f>
        <v>30</v>
      </c>
      <c r="C43" s="103" t="s">
        <v>185</v>
      </c>
      <c r="D43" s="103" t="s">
        <v>181</v>
      </c>
      <c r="E43" s="107">
        <f>MAX(E44,ABS(E45))</f>
        <v>65.673222412000001</v>
      </c>
      <c r="F43" t="s">
        <v>184</v>
      </c>
      <c r="I43" s="106">
        <f>I42+1</f>
        <v>30</v>
      </c>
      <c r="J43" s="103" t="s">
        <v>185</v>
      </c>
      <c r="K43" s="103" t="s">
        <v>181</v>
      </c>
      <c r="L43" s="107">
        <v>65.673222412000001</v>
      </c>
      <c r="M43" s="107">
        <v>65.673222412000001</v>
      </c>
      <c r="N43" s="107">
        <v>65.673222412000001</v>
      </c>
      <c r="O43" s="107">
        <v>65.673222412000001</v>
      </c>
      <c r="P43" t="str">
        <f t="shared" si="2"/>
        <v>Note: S1 loads not included here, only FLS loads</v>
      </c>
      <c r="U43" s="144">
        <v>6011.0379415999996</v>
      </c>
      <c r="V43" s="144">
        <v>-25364.400000000001</v>
      </c>
      <c r="W43" s="143">
        <v>4.88</v>
      </c>
    </row>
    <row r="44" spans="2:23" ht="15.6">
      <c r="B44" s="106">
        <f>B43+1</f>
        <v>31</v>
      </c>
      <c r="C44" s="103" t="s">
        <v>183</v>
      </c>
      <c r="D44" s="103" t="s">
        <v>181</v>
      </c>
      <c r="E44" s="107">
        <v>65.673222412000001</v>
      </c>
      <c r="I44" s="106">
        <f>I43+1</f>
        <v>31</v>
      </c>
      <c r="J44" s="103" t="s">
        <v>183</v>
      </c>
      <c r="K44" s="103" t="s">
        <v>181</v>
      </c>
      <c r="L44" s="107">
        <v>65.673222412000001</v>
      </c>
      <c r="M44" s="107">
        <v>65.673222412000001</v>
      </c>
      <c r="N44" s="107">
        <v>65.673222412000001</v>
      </c>
      <c r="O44" s="107">
        <v>65.673222412000001</v>
      </c>
      <c r="P44" t="str">
        <f t="shared" si="2"/>
        <v/>
      </c>
      <c r="U44" s="144">
        <v>5.5881996300000004E-3</v>
      </c>
      <c r="V44" s="144">
        <v>-22043.5</v>
      </c>
      <c r="W44" s="143">
        <v>129.41</v>
      </c>
    </row>
    <row r="45" spans="2:23" ht="15.6">
      <c r="B45" s="106">
        <f>B44+1</f>
        <v>32</v>
      </c>
      <c r="C45" s="103" t="s">
        <v>182</v>
      </c>
      <c r="D45" s="103" t="s">
        <v>181</v>
      </c>
      <c r="E45" s="107">
        <v>-58.57360279409982</v>
      </c>
      <c r="I45" s="106">
        <f>I44+1</f>
        <v>32</v>
      </c>
      <c r="J45" s="103" t="s">
        <v>182</v>
      </c>
      <c r="K45" s="103" t="s">
        <v>181</v>
      </c>
      <c r="L45" s="107">
        <v>-58.57360279409982</v>
      </c>
      <c r="M45" s="107">
        <v>-58.57360279409982</v>
      </c>
      <c r="N45" s="107">
        <v>-58.57360279409982</v>
      </c>
      <c r="O45" s="107">
        <v>-58.57360279409982</v>
      </c>
      <c r="P45" t="str">
        <f t="shared" si="2"/>
        <v/>
      </c>
      <c r="U45" s="144">
        <v>2003.6844703999998</v>
      </c>
      <c r="V45" s="144">
        <v>-22043.5</v>
      </c>
      <c r="W45" s="143">
        <v>47.78</v>
      </c>
    </row>
    <row r="46" spans="2:23" ht="15.6">
      <c r="B46" s="106"/>
      <c r="C46" s="103" t="s">
        <v>180</v>
      </c>
      <c r="D46" s="103" t="s">
        <v>126</v>
      </c>
      <c r="E46" s="111">
        <v>369.02469277749583</v>
      </c>
      <c r="I46" s="106"/>
      <c r="J46" s="103" t="s">
        <v>180</v>
      </c>
      <c r="K46" s="103" t="s">
        <v>126</v>
      </c>
      <c r="L46" s="111">
        <v>369.02469277749583</v>
      </c>
      <c r="M46" s="111">
        <v>369.02469277749583</v>
      </c>
      <c r="N46" s="111">
        <v>369.02469277749583</v>
      </c>
      <c r="O46" s="111">
        <v>369.02469277749583</v>
      </c>
      <c r="P46" t="str">
        <f t="shared" si="2"/>
        <v/>
      </c>
      <c r="U46" s="144">
        <v>4007.361206</v>
      </c>
      <c r="V46" s="144">
        <v>-22043.5</v>
      </c>
      <c r="W46" s="143">
        <v>28.16</v>
      </c>
    </row>
    <row r="47" spans="2:23" ht="15.6">
      <c r="B47" s="106">
        <f>B45+1</f>
        <v>33</v>
      </c>
      <c r="C47" s="103" t="s">
        <v>179</v>
      </c>
      <c r="D47" s="103" t="s">
        <v>121</v>
      </c>
      <c r="E47" s="104"/>
      <c r="F47" t="s">
        <v>305</v>
      </c>
      <c r="I47" s="106">
        <f>I45+1</f>
        <v>33</v>
      </c>
      <c r="J47" s="103" t="s">
        <v>179</v>
      </c>
      <c r="K47" s="103" t="s">
        <v>121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6011.0379415999996</v>
      </c>
      <c r="V47" s="144">
        <v>-22043.5</v>
      </c>
      <c r="W47" s="143">
        <v>3.79</v>
      </c>
    </row>
    <row r="48" spans="2:23" ht="15.6">
      <c r="B48" s="106"/>
      <c r="C48" s="105" t="s">
        <v>178</v>
      </c>
      <c r="D48" s="103" t="s">
        <v>177</v>
      </c>
      <c r="E48" s="110">
        <v>30</v>
      </c>
      <c r="I48" s="106"/>
      <c r="J48" s="105" t="s">
        <v>178</v>
      </c>
      <c r="K48" s="103" t="s">
        <v>177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5.5881996300000004E-3</v>
      </c>
      <c r="V48" s="144">
        <v>-18722.599999999999</v>
      </c>
      <c r="W48" s="143">
        <v>190.18</v>
      </c>
    </row>
    <row r="49" spans="2:23" ht="15.6">
      <c r="B49" s="106"/>
      <c r="C49" s="103" t="s">
        <v>176</v>
      </c>
      <c r="D49" s="103" t="s">
        <v>170</v>
      </c>
      <c r="E49" s="109">
        <v>1.2042771838760873</v>
      </c>
      <c r="F49" t="s">
        <v>318</v>
      </c>
      <c r="I49" s="106"/>
      <c r="J49" s="103" t="s">
        <v>176</v>
      </c>
      <c r="K49" s="103" t="s">
        <v>170</v>
      </c>
      <c r="L49" s="109">
        <v>1.2042771838760873</v>
      </c>
      <c r="M49" s="109">
        <v>2.4085543677521746</v>
      </c>
      <c r="N49" s="109">
        <v>3.6128315516282621</v>
      </c>
      <c r="O49" s="109">
        <v>4.8171087355043491</v>
      </c>
      <c r="P49" t="str">
        <f t="shared" si="2"/>
        <v>Gap length measured on outside diameter</v>
      </c>
      <c r="U49" s="144">
        <v>2003.6844703999998</v>
      </c>
      <c r="V49" s="144">
        <v>-18722.599999999999</v>
      </c>
      <c r="W49" s="143">
        <v>138.01</v>
      </c>
    </row>
    <row r="50" spans="2:23">
      <c r="B50" s="106"/>
      <c r="C50" s="103" t="s">
        <v>91</v>
      </c>
      <c r="D50" s="103" t="s">
        <v>170</v>
      </c>
      <c r="E50" s="109">
        <v>4.5999999999999996</v>
      </c>
      <c r="I50" s="106"/>
      <c r="J50" s="103" t="s">
        <v>91</v>
      </c>
      <c r="K50" s="103" t="s">
        <v>170</v>
      </c>
      <c r="L50" s="109">
        <v>4.5999999999999996</v>
      </c>
      <c r="M50" s="109">
        <v>4.5999999999999996</v>
      </c>
      <c r="N50" s="109">
        <v>4.5999999999999996</v>
      </c>
      <c r="O50" s="109">
        <v>4.5999999999999996</v>
      </c>
      <c r="P50" t="str">
        <f t="shared" si="2"/>
        <v/>
      </c>
      <c r="U50" s="144">
        <v>4007.361206</v>
      </c>
      <c r="V50" s="144">
        <v>-18722.599999999999</v>
      </c>
      <c r="W50" s="143">
        <v>32.68</v>
      </c>
    </row>
    <row r="51" spans="2:23" ht="15.6">
      <c r="B51" s="106"/>
      <c r="C51" s="103" t="s">
        <v>175</v>
      </c>
      <c r="D51" s="103" t="s">
        <v>174</v>
      </c>
      <c r="E51" s="108">
        <v>1.4</v>
      </c>
      <c r="I51" s="106"/>
      <c r="J51" s="103" t="s">
        <v>175</v>
      </c>
      <c r="K51" s="103" t="s">
        <v>174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6011.0379415999996</v>
      </c>
      <c r="V51" s="144">
        <v>-18722.599999999999</v>
      </c>
      <c r="W51" s="143">
        <v>8.18</v>
      </c>
    </row>
    <row r="52" spans="2:23" ht="15.6">
      <c r="B52" s="106">
        <f>B47+1</f>
        <v>34</v>
      </c>
      <c r="C52" s="103" t="s">
        <v>173</v>
      </c>
      <c r="D52" s="103" t="s">
        <v>124</v>
      </c>
      <c r="E52" s="109">
        <v>0.25543636477371356</v>
      </c>
      <c r="I52" s="106">
        <f>I47+1</f>
        <v>34</v>
      </c>
      <c r="J52" s="103" t="s">
        <v>173</v>
      </c>
      <c r="K52" s="103" t="s">
        <v>124</v>
      </c>
      <c r="L52" s="109">
        <v>0.25543636477371356</v>
      </c>
      <c r="M52" s="109">
        <v>0.61333841412818124</v>
      </c>
      <c r="N52" s="109">
        <v>1.0737061480634029</v>
      </c>
      <c r="O52" s="109">
        <v>1.6365395665793787</v>
      </c>
      <c r="P52" t="str">
        <f t="shared" si="2"/>
        <v/>
      </c>
      <c r="U52" s="144">
        <v>8014.7224120000001</v>
      </c>
      <c r="V52" s="144">
        <v>-18722.599999999999</v>
      </c>
      <c r="W52" s="143">
        <v>0.17</v>
      </c>
    </row>
    <row r="53" spans="2:23" ht="15.6">
      <c r="B53" s="106">
        <f>B52+1</f>
        <v>35</v>
      </c>
      <c r="C53" s="103" t="s">
        <v>172</v>
      </c>
      <c r="D53" s="103" t="s">
        <v>121</v>
      </c>
      <c r="E53" s="109">
        <f>0.35+200*E48^-1.6</f>
        <v>1.2162355202035975</v>
      </c>
      <c r="I53" s="106">
        <f>I52+1</f>
        <v>35</v>
      </c>
      <c r="J53" s="103" t="s">
        <v>172</v>
      </c>
      <c r="K53" s="103" t="s">
        <v>121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18033.144764000001</v>
      </c>
      <c r="V53" s="144">
        <v>-18722.599999999999</v>
      </c>
      <c r="W53" s="143">
        <v>3.62</v>
      </c>
    </row>
    <row r="54" spans="2:23" ht="15.6">
      <c r="B54" s="106"/>
      <c r="C54" s="103" t="s">
        <v>171</v>
      </c>
      <c r="D54" s="103" t="s">
        <v>170</v>
      </c>
      <c r="E54" s="109">
        <f>PI()*E50/12</f>
        <v>1.2042771838760873</v>
      </c>
      <c r="I54" s="106"/>
      <c r="J54" s="103" t="s">
        <v>171</v>
      </c>
      <c r="K54" s="103" t="s">
        <v>170</v>
      </c>
      <c r="L54" s="109">
        <v>1.2042771838760873</v>
      </c>
      <c r="M54" s="109">
        <v>1.2042771838760873</v>
      </c>
      <c r="N54" s="109">
        <v>1.2042771838760873</v>
      </c>
      <c r="O54" s="109">
        <v>1.2042771838760873</v>
      </c>
      <c r="P54" t="str">
        <f t="shared" si="2"/>
        <v/>
      </c>
      <c r="U54" s="144">
        <v>46084.634531999996</v>
      </c>
      <c r="V54" s="144">
        <v>-18722.599999999999</v>
      </c>
      <c r="W54" s="143">
        <v>2.4300000000000002</v>
      </c>
    </row>
    <row r="55" spans="2:23" ht="15.6">
      <c r="B55" s="106">
        <f>B53+1</f>
        <v>36</v>
      </c>
      <c r="C55" s="103" t="s">
        <v>169</v>
      </c>
      <c r="D55" s="103" t="s">
        <v>124</v>
      </c>
      <c r="E55" s="109">
        <f>SQRT(E54)*E51</f>
        <v>1.5363538916529389</v>
      </c>
      <c r="I55" s="106">
        <f>I53+1</f>
        <v>36</v>
      </c>
      <c r="J55" s="103" t="s">
        <v>169</v>
      </c>
      <c r="K55" s="103" t="s">
        <v>124</v>
      </c>
      <c r="L55" s="109">
        <v>1.5363538916529389</v>
      </c>
      <c r="M55" s="109">
        <v>1.5363538916529389</v>
      </c>
      <c r="N55" s="109">
        <v>1.5363538916529389</v>
      </c>
      <c r="O55" s="109">
        <v>1.5363538916529389</v>
      </c>
      <c r="P55" t="str">
        <f t="shared" si="2"/>
        <v/>
      </c>
      <c r="U55" s="144">
        <v>50091.957064000002</v>
      </c>
      <c r="V55" s="144">
        <v>-18722.599999999999</v>
      </c>
      <c r="W55" s="143">
        <v>1.74</v>
      </c>
    </row>
    <row r="56" spans="2:23" ht="15.6">
      <c r="B56" s="106">
        <f>B55+1</f>
        <v>37</v>
      </c>
      <c r="C56" s="103" t="s">
        <v>168</v>
      </c>
      <c r="D56" s="103" t="s">
        <v>124</v>
      </c>
      <c r="E56" s="109">
        <f>1.5*E55</f>
        <v>2.3045308374794082</v>
      </c>
      <c r="I56" s="106">
        <f>I55+1</f>
        <v>37</v>
      </c>
      <c r="J56" s="103" t="s">
        <v>168</v>
      </c>
      <c r="K56" s="103" t="s">
        <v>124</v>
      </c>
      <c r="L56" s="109">
        <v>2.3045308374794082</v>
      </c>
      <c r="M56" s="109">
        <v>2.3045308374794082</v>
      </c>
      <c r="N56" s="109">
        <v>2.3045308374794082</v>
      </c>
      <c r="O56" s="109">
        <v>2.3045308374794082</v>
      </c>
      <c r="P56" t="str">
        <f t="shared" si="2"/>
        <v/>
      </c>
      <c r="U56" s="144">
        <v>52095.657004000001</v>
      </c>
      <c r="V56" s="144">
        <v>-18722.599999999999</v>
      </c>
      <c r="W56" s="143">
        <v>9.14</v>
      </c>
    </row>
    <row r="57" spans="2:23" ht="15.6">
      <c r="B57" s="106">
        <f>B56+1</f>
        <v>38</v>
      </c>
      <c r="C57" s="105" t="s">
        <v>167</v>
      </c>
      <c r="D57" s="103"/>
      <c r="E57" s="109">
        <f>SQRT(LN(E53^2+1))</f>
        <v>0.95286282352314688</v>
      </c>
      <c r="I57" s="106">
        <f>I56+1</f>
        <v>38</v>
      </c>
      <c r="J57" s="105" t="s">
        <v>167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54099.279596</v>
      </c>
      <c r="V57" s="144">
        <v>-18722.599999999999</v>
      </c>
      <c r="W57" s="143">
        <v>13.744999999999999</v>
      </c>
    </row>
    <row r="58" spans="2:23" ht="15.6">
      <c r="B58" s="106">
        <f>B57+1</f>
        <v>39</v>
      </c>
      <c r="C58" s="105" t="s">
        <v>166</v>
      </c>
      <c r="D58" s="103"/>
      <c r="E58" s="109">
        <f>LN(E52)-0.5*E57^2</f>
        <v>-1.818755742136632</v>
      </c>
      <c r="I58" s="106">
        <f>I57+1</f>
        <v>39</v>
      </c>
      <c r="J58" s="105" t="s">
        <v>166</v>
      </c>
      <c r="K58" s="103"/>
      <c r="L58" s="109">
        <v>-1.818755742136632</v>
      </c>
      <c r="M58" s="109">
        <v>-0.65856501763236064</v>
      </c>
      <c r="N58" s="109">
        <v>-4.0200575628711196E-2</v>
      </c>
      <c r="O58" s="109">
        <v>0.40252051240999598</v>
      </c>
      <c r="P58" t="str">
        <f t="shared" si="2"/>
        <v/>
      </c>
      <c r="U58" s="144">
        <v>56102.979535999999</v>
      </c>
      <c r="V58" s="144">
        <v>-18722.599999999999</v>
      </c>
      <c r="W58" s="143">
        <v>18.434999999999999</v>
      </c>
    </row>
    <row r="59" spans="2:23" ht="15.6">
      <c r="B59" s="106">
        <f>B58+1</f>
        <v>40</v>
      </c>
      <c r="C59" s="103" t="s">
        <v>165</v>
      </c>
      <c r="D59" s="103"/>
      <c r="E59" s="109">
        <f>E58+1.6449*E57</f>
        <v>-0.25139168372340781</v>
      </c>
      <c r="I59" s="106">
        <f>I58+1</f>
        <v>40</v>
      </c>
      <c r="J59" s="103" t="s">
        <v>165</v>
      </c>
      <c r="K59" s="103"/>
      <c r="L59" s="109">
        <v>-0.25139168372340781</v>
      </c>
      <c r="M59" s="109">
        <v>0.2997966493307046</v>
      </c>
      <c r="N59" s="109">
        <v>0.73593056145449198</v>
      </c>
      <c r="O59" s="109">
        <v>1.100638551127151</v>
      </c>
      <c r="P59" t="str">
        <f t="shared" si="2"/>
        <v/>
      </c>
      <c r="U59" s="144">
        <v>58106.679475999998</v>
      </c>
      <c r="V59" s="144">
        <v>-18722.599999999999</v>
      </c>
      <c r="W59" s="143">
        <v>9.0950000000000006</v>
      </c>
    </row>
    <row r="60" spans="2:23" ht="15.6">
      <c r="B60" s="106">
        <f>B59+1</f>
        <v>41</v>
      </c>
      <c r="C60" s="103" t="s">
        <v>164</v>
      </c>
      <c r="D60" s="103" t="s">
        <v>124</v>
      </c>
      <c r="E60" s="109">
        <v>0.77768332816019681</v>
      </c>
      <c r="I60" s="106">
        <f>I59+1</f>
        <v>41</v>
      </c>
      <c r="J60" s="103" t="s">
        <v>164</v>
      </c>
      <c r="K60" s="103" t="s">
        <v>124</v>
      </c>
      <c r="L60" s="109">
        <v>0.77768332816019681</v>
      </c>
      <c r="M60" s="109">
        <v>1.349547878014234</v>
      </c>
      <c r="N60" s="109">
        <v>2.0873778911039058</v>
      </c>
      <c r="O60" s="109">
        <v>3.0060257869038067</v>
      </c>
      <c r="P60" t="str">
        <f t="shared" si="2"/>
        <v/>
      </c>
      <c r="U60" s="144">
        <v>60110.379416000003</v>
      </c>
      <c r="V60" s="144">
        <v>-18722.599999999999</v>
      </c>
      <c r="W60" s="143">
        <v>3.8450000000000002</v>
      </c>
    </row>
    <row r="61" spans="2:23" ht="15.6">
      <c r="B61" s="106"/>
      <c r="C61" s="103" t="s">
        <v>163</v>
      </c>
      <c r="D61" s="103" t="s">
        <v>124</v>
      </c>
      <c r="E61" s="109">
        <v>0.77768332816019681</v>
      </c>
      <c r="F61" t="s">
        <v>162</v>
      </c>
      <c r="I61" s="106"/>
      <c r="J61" s="103" t="s">
        <v>163</v>
      </c>
      <c r="K61" s="103" t="s">
        <v>124</v>
      </c>
      <c r="L61" s="109">
        <v>0.77768332816019681</v>
      </c>
      <c r="M61" s="109">
        <v>1.349547878014234</v>
      </c>
      <c r="N61" s="109">
        <v>2.0873778911039058</v>
      </c>
      <c r="O61" s="109">
        <v>3.0060257869038067</v>
      </c>
      <c r="P61" t="str">
        <f t="shared" si="2"/>
        <v>Gap value used for calculation</v>
      </c>
      <c r="U61" s="144">
        <v>62114.002008000003</v>
      </c>
      <c r="V61" s="144">
        <v>-18722.599999999999</v>
      </c>
      <c r="W61" s="143">
        <v>5.91</v>
      </c>
    </row>
    <row r="62" spans="2:23">
      <c r="B62" s="106">
        <f>B60+1</f>
        <v>42</v>
      </c>
      <c r="C62" s="103" t="s">
        <v>161</v>
      </c>
      <c r="D62" s="103"/>
      <c r="E62" s="128"/>
      <c r="F62" t="s">
        <v>160</v>
      </c>
      <c r="I62" s="106">
        <f>I60+1</f>
        <v>42</v>
      </c>
      <c r="J62" s="103" t="s">
        <v>161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64117.701948000002</v>
      </c>
      <c r="V62" s="144">
        <v>-18722.599999999999</v>
      </c>
      <c r="W62" s="143">
        <v>0.90500000000000003</v>
      </c>
    </row>
    <row r="63" spans="2:23">
      <c r="B63" s="106">
        <f>B62+1</f>
        <v>43</v>
      </c>
      <c r="C63" s="112" t="s">
        <v>159</v>
      </c>
      <c r="D63" s="103"/>
      <c r="E63" s="128"/>
      <c r="F63" t="s">
        <v>158</v>
      </c>
      <c r="I63" s="106">
        <f>I62+1</f>
        <v>43</v>
      </c>
      <c r="J63" s="112" t="s">
        <v>159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74136.124299999996</v>
      </c>
      <c r="V63" s="144">
        <v>-18722.599999999999</v>
      </c>
      <c r="W63" s="143">
        <v>1.43</v>
      </c>
    </row>
    <row r="64" spans="2:23" ht="15.6">
      <c r="B64" s="106">
        <f>B63+1</f>
        <v>44</v>
      </c>
      <c r="C64" s="103" t="s">
        <v>157</v>
      </c>
      <c r="D64" s="103"/>
      <c r="E64" s="104"/>
      <c r="I64" s="106">
        <f>I63+1</f>
        <v>44</v>
      </c>
      <c r="J64" s="103" t="s">
        <v>157</v>
      </c>
      <c r="K64" s="103"/>
      <c r="L64" s="104"/>
      <c r="M64" s="104"/>
      <c r="N64" s="104"/>
      <c r="O64" s="104"/>
      <c r="P64" t="str">
        <f t="shared" si="2"/>
        <v/>
      </c>
      <c r="U64" s="144">
        <v>76139.746891999996</v>
      </c>
      <c r="V64" s="144">
        <v>-18722.599999999999</v>
      </c>
      <c r="W64" s="143">
        <v>4.66</v>
      </c>
    </row>
    <row r="65" spans="2:23" ht="15.6">
      <c r="B65" s="106">
        <f>B64+1</f>
        <v>45</v>
      </c>
      <c r="C65" s="103" t="s">
        <v>156</v>
      </c>
      <c r="D65" s="103"/>
      <c r="E65" s="104"/>
      <c r="I65" s="106">
        <f>I64+1</f>
        <v>45</v>
      </c>
      <c r="J65" s="103" t="s">
        <v>156</v>
      </c>
      <c r="K65" s="103"/>
      <c r="L65" s="104"/>
      <c r="M65" s="104"/>
      <c r="N65" s="104"/>
      <c r="O65" s="104"/>
      <c r="P65" t="str">
        <f t="shared" si="2"/>
        <v/>
      </c>
      <c r="U65" s="144">
        <v>5.5881996300000004E-3</v>
      </c>
      <c r="V65" s="144">
        <v>-15401.7</v>
      </c>
      <c r="W65" s="143">
        <v>304.3</v>
      </c>
    </row>
    <row r="66" spans="2:23" ht="15.6">
      <c r="B66" s="106">
        <f>B65+1</f>
        <v>46</v>
      </c>
      <c r="C66" s="103" t="s">
        <v>155</v>
      </c>
      <c r="D66" s="103"/>
      <c r="E66" s="128"/>
      <c r="F66" t="s">
        <v>154</v>
      </c>
      <c r="I66" s="106">
        <f>I65+1</f>
        <v>46</v>
      </c>
      <c r="J66" s="103" t="s">
        <v>155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2003.6844703999998</v>
      </c>
      <c r="V66" s="144">
        <v>-15401.7</v>
      </c>
      <c r="W66" s="143">
        <v>160.74</v>
      </c>
    </row>
    <row r="67" spans="2:23" ht="15.6">
      <c r="B67" s="106"/>
      <c r="C67" s="103" t="s">
        <v>317</v>
      </c>
      <c r="D67" s="103" t="s">
        <v>126</v>
      </c>
      <c r="E67" s="109">
        <v>-30.138888888888889</v>
      </c>
      <c r="I67" s="106"/>
      <c r="J67" s="103" t="s">
        <v>317</v>
      </c>
      <c r="K67" s="103" t="s">
        <v>126</v>
      </c>
      <c r="L67" s="109">
        <v>-30.138888888888889</v>
      </c>
      <c r="M67" s="109">
        <v>-30.138888888888889</v>
      </c>
      <c r="N67" s="109">
        <v>-30.138888888888889</v>
      </c>
      <c r="O67" s="109">
        <v>-30.138888888888889</v>
      </c>
      <c r="U67" s="144">
        <v>4007.361206</v>
      </c>
      <c r="V67" s="144">
        <v>-15401.7</v>
      </c>
      <c r="W67" s="143">
        <v>33.369999999999997</v>
      </c>
    </row>
    <row r="68" spans="2:23" ht="15.6">
      <c r="B68" s="106"/>
      <c r="C68" s="103" t="s">
        <v>316</v>
      </c>
      <c r="D68" s="103" t="s">
        <v>126</v>
      </c>
      <c r="E68" s="109">
        <v>910</v>
      </c>
      <c r="I68" s="106"/>
      <c r="J68" s="103" t="s">
        <v>316</v>
      </c>
      <c r="K68" s="103" t="s">
        <v>126</v>
      </c>
      <c r="L68" s="109">
        <v>910</v>
      </c>
      <c r="M68" s="109">
        <v>910</v>
      </c>
      <c r="N68" s="109">
        <v>910</v>
      </c>
      <c r="O68" s="109">
        <v>910</v>
      </c>
      <c r="U68" s="144">
        <v>6011.0379415999996</v>
      </c>
      <c r="V68" s="144">
        <v>-15401.7</v>
      </c>
      <c r="W68" s="143">
        <v>4.1900000000000004</v>
      </c>
    </row>
    <row r="69" spans="2:23" ht="15.6">
      <c r="B69" s="106"/>
      <c r="C69" s="103" t="s">
        <v>315</v>
      </c>
      <c r="D69" s="103" t="s">
        <v>126</v>
      </c>
      <c r="E69" s="109">
        <v>607.8536313595099</v>
      </c>
      <c r="I69" s="106"/>
      <c r="J69" s="103" t="s">
        <v>315</v>
      </c>
      <c r="K69" s="103" t="s">
        <v>126</v>
      </c>
      <c r="L69" s="109">
        <v>602.8619512826707</v>
      </c>
      <c r="M69" s="109">
        <v>626.51407112055074</v>
      </c>
      <c r="N69" s="109">
        <v>608.52478606945112</v>
      </c>
      <c r="O69" s="109">
        <v>613.2751826323979</v>
      </c>
      <c r="U69" s="144">
        <v>8014.7224120000001</v>
      </c>
      <c r="V69" s="144">
        <v>-15401.7</v>
      </c>
      <c r="W69" s="143">
        <v>10.75</v>
      </c>
    </row>
    <row r="70" spans="2:23" ht="15.6">
      <c r="B70" s="106"/>
      <c r="C70" s="103" t="s">
        <v>314</v>
      </c>
      <c r="D70" s="103" t="s">
        <v>126</v>
      </c>
      <c r="E70" s="109">
        <v>1137.5</v>
      </c>
      <c r="I70" s="106"/>
      <c r="J70" s="103" t="s">
        <v>314</v>
      </c>
      <c r="K70" s="103" t="s">
        <v>126</v>
      </c>
      <c r="L70" s="109">
        <v>1137.5</v>
      </c>
      <c r="M70" s="109">
        <v>1137.5</v>
      </c>
      <c r="N70" s="109">
        <v>1137.5</v>
      </c>
      <c r="O70" s="109">
        <v>1137.5</v>
      </c>
      <c r="U70" s="144">
        <v>10018.422352</v>
      </c>
      <c r="V70" s="144">
        <v>-15401.7</v>
      </c>
      <c r="W70" s="143">
        <v>6.59</v>
      </c>
    </row>
    <row r="71" spans="2:23" ht="15.6">
      <c r="B71" s="106"/>
      <c r="C71" s="103" t="s">
        <v>313</v>
      </c>
      <c r="D71" s="103" t="s">
        <v>126</v>
      </c>
      <c r="E71" s="109">
        <v>45.345552163714615</v>
      </c>
      <c r="I71" s="106"/>
      <c r="J71" s="103" t="s">
        <v>313</v>
      </c>
      <c r="K71" s="103" t="s">
        <v>126</v>
      </c>
      <c r="L71" s="109">
        <v>45.567283228982809</v>
      </c>
      <c r="M71" s="109">
        <v>40.20881399376907</v>
      </c>
      <c r="N71" s="109">
        <v>39.06995863813421</v>
      </c>
      <c r="O71" s="109">
        <v>38.285325720355317</v>
      </c>
      <c r="U71" s="144">
        <v>12022.044943999999</v>
      </c>
      <c r="V71" s="144">
        <v>-15401.7</v>
      </c>
      <c r="W71" s="143">
        <v>3.27</v>
      </c>
    </row>
    <row r="72" spans="2:23" ht="15.6">
      <c r="B72" s="106"/>
      <c r="C72" s="103" t="s">
        <v>312</v>
      </c>
      <c r="D72" s="103" t="s">
        <v>126</v>
      </c>
      <c r="E72" s="109">
        <v>915.19830200272622</v>
      </c>
      <c r="I72" s="106"/>
      <c r="J72" s="103" t="s">
        <v>312</v>
      </c>
      <c r="K72" s="103" t="s">
        <v>126</v>
      </c>
      <c r="L72" s="109">
        <v>915.97635433028302</v>
      </c>
      <c r="M72" s="109">
        <v>913.62451299607005</v>
      </c>
      <c r="N72" s="109">
        <v>913.57088007577067</v>
      </c>
      <c r="O72" s="109">
        <v>913.17671069902224</v>
      </c>
      <c r="U72" s="144">
        <v>14025.744884</v>
      </c>
      <c r="V72" s="144">
        <v>-15401.7</v>
      </c>
      <c r="W72" s="143">
        <v>3.62</v>
      </c>
    </row>
    <row r="73" spans="2:23" ht="15.6">
      <c r="B73" s="106"/>
      <c r="C73" s="103" t="s">
        <v>311</v>
      </c>
      <c r="D73" s="103"/>
      <c r="E73" s="110">
        <v>27089550.274536062</v>
      </c>
      <c r="I73" s="106"/>
      <c r="J73" s="103" t="s">
        <v>311</v>
      </c>
      <c r="K73" s="103"/>
      <c r="L73" s="110">
        <v>26706714.403389178</v>
      </c>
      <c r="M73" s="110">
        <v>27083801.070125036</v>
      </c>
      <c r="N73" s="110">
        <v>25170573.564556729</v>
      </c>
      <c r="O73" s="110">
        <v>25313987.394131456</v>
      </c>
      <c r="U73" s="144">
        <v>18033.144764000001</v>
      </c>
      <c r="V73" s="144">
        <v>-15401.7</v>
      </c>
      <c r="W73" s="143">
        <v>3.62</v>
      </c>
    </row>
    <row r="74" spans="2:23" ht="15.6">
      <c r="B74" s="106"/>
      <c r="C74" s="103" t="s">
        <v>310</v>
      </c>
      <c r="D74" s="103"/>
      <c r="E74" s="111">
        <v>13856.232543735694</v>
      </c>
      <c r="I74" s="106"/>
      <c r="J74" s="103" t="s">
        <v>310</v>
      </c>
      <c r="K74" s="103"/>
      <c r="L74" s="111">
        <v>13440.116844583727</v>
      </c>
      <c r="M74" s="111">
        <v>13624.055218342601</v>
      </c>
      <c r="N74" s="111">
        <v>13464.42142037054</v>
      </c>
      <c r="O74" s="111">
        <v>13522.568458699927</v>
      </c>
      <c r="U74" s="144">
        <v>20036.767356</v>
      </c>
      <c r="V74" s="144">
        <v>-15401.7</v>
      </c>
      <c r="W74" s="143">
        <v>3.62</v>
      </c>
    </row>
    <row r="75" spans="2:23" ht="15.6">
      <c r="B75" s="106"/>
      <c r="C75" s="103" t="s">
        <v>309</v>
      </c>
      <c r="D75" s="103"/>
      <c r="E75" s="111">
        <v>1654838.4920222175</v>
      </c>
      <c r="I75" s="106"/>
      <c r="J75" s="103" t="s">
        <v>309</v>
      </c>
      <c r="K75" s="103"/>
      <c r="L75" s="111">
        <v>1900907.1004999203</v>
      </c>
      <c r="M75" s="111">
        <v>1258240.9625453674</v>
      </c>
      <c r="N75" s="111">
        <v>1178442.0907496419</v>
      </c>
      <c r="O75" s="111">
        <v>1065084.2282044198</v>
      </c>
      <c r="U75" s="144">
        <v>24044.167236000001</v>
      </c>
      <c r="V75" s="144">
        <v>-15401.7</v>
      </c>
      <c r="W75" s="143">
        <v>3.87</v>
      </c>
    </row>
    <row r="76" spans="2:23" ht="15.6">
      <c r="B76" s="106"/>
      <c r="C76" s="105" t="s">
        <v>308</v>
      </c>
      <c r="D76" s="103"/>
      <c r="E76" s="136">
        <v>5.1149732658206692E-4</v>
      </c>
      <c r="I76" s="106"/>
      <c r="J76" s="105" t="s">
        <v>308</v>
      </c>
      <c r="K76" s="103"/>
      <c r="L76" s="136">
        <v>5.0324860788110003E-4</v>
      </c>
      <c r="M76" s="136">
        <v>5.0303335130351054E-4</v>
      </c>
      <c r="N76" s="136">
        <v>5.3492708006185866E-4</v>
      </c>
      <c r="O76" s="136">
        <v>5.3419353688367822E-4</v>
      </c>
      <c r="U76" s="144">
        <v>26047.789828000001</v>
      </c>
      <c r="V76" s="144">
        <v>-15401.7</v>
      </c>
      <c r="W76" s="143">
        <v>5.5549999999999997</v>
      </c>
    </row>
    <row r="77" spans="2:23" ht="15.6">
      <c r="B77" s="106"/>
      <c r="C77" s="105" t="s">
        <v>307</v>
      </c>
      <c r="D77" s="103"/>
      <c r="E77" s="136">
        <v>6.1087706338844285E-2</v>
      </c>
      <c r="I77" s="106"/>
      <c r="J77" s="105" t="s">
        <v>307</v>
      </c>
      <c r="K77" s="103"/>
      <c r="L77" s="136">
        <v>7.1177123167898496E-2</v>
      </c>
      <c r="M77" s="136">
        <v>4.6457325516737688E-2</v>
      </c>
      <c r="N77" s="136">
        <v>4.6818245429616816E-2</v>
      </c>
      <c r="O77" s="136">
        <v>4.2074929232655711E-2</v>
      </c>
      <c r="U77" s="144">
        <v>28051.489767999999</v>
      </c>
      <c r="V77" s="144">
        <v>-15401.7</v>
      </c>
      <c r="W77" s="143">
        <v>1.99</v>
      </c>
    </row>
    <row r="78" spans="2:23" ht="14.4">
      <c r="B78" s="106"/>
      <c r="C78" s="112" t="s">
        <v>306</v>
      </c>
      <c r="D78" s="103"/>
      <c r="E78" s="108">
        <v>911.3764956553315</v>
      </c>
      <c r="I78" s="106"/>
      <c r="J78" s="112" t="s">
        <v>306</v>
      </c>
      <c r="K78" s="103"/>
      <c r="L78" s="108">
        <v>911.68807221336829</v>
      </c>
      <c r="M78" s="108">
        <v>910.94324050748105</v>
      </c>
      <c r="N78" s="108">
        <v>910.92514748044357</v>
      </c>
      <c r="O78" s="108">
        <v>910.78285551648889</v>
      </c>
      <c r="U78" s="144">
        <v>30055.189708000002</v>
      </c>
      <c r="V78" s="144">
        <v>-15401.7</v>
      </c>
      <c r="W78" s="143">
        <v>8.5749999999999993</v>
      </c>
    </row>
    <row r="79" spans="2:23" ht="15.6">
      <c r="B79" s="106">
        <f>B66+1</f>
        <v>47</v>
      </c>
      <c r="C79" s="105" t="s">
        <v>153</v>
      </c>
      <c r="D79" s="103" t="s">
        <v>126</v>
      </c>
      <c r="E79" s="107">
        <v>243.87636574071416</v>
      </c>
      <c r="I79" s="106">
        <f>I66+1</f>
        <v>47</v>
      </c>
      <c r="J79" s="105" t="s">
        <v>153</v>
      </c>
      <c r="K79" s="103" t="s">
        <v>126</v>
      </c>
      <c r="L79" s="107">
        <v>250.33924740429279</v>
      </c>
      <c r="M79" s="107">
        <v>163.38930761213831</v>
      </c>
      <c r="N79" s="107">
        <v>163.62043369414067</v>
      </c>
      <c r="O79" s="107">
        <v>147.22844876718403</v>
      </c>
      <c r="P79" t="str">
        <f t="shared" ref="P79:P84" si="3">IF(F79&lt;&gt;"",F79,"")</f>
        <v/>
      </c>
      <c r="U79" s="144">
        <v>32058.889648</v>
      </c>
      <c r="V79" s="144">
        <v>-15401.7</v>
      </c>
      <c r="W79" s="143">
        <v>6.77</v>
      </c>
    </row>
    <row r="80" spans="2:23" ht="15.6">
      <c r="B80" s="106"/>
      <c r="C80" s="103" t="s">
        <v>142</v>
      </c>
      <c r="D80" s="103" t="s">
        <v>141</v>
      </c>
      <c r="E80" s="111">
        <v>12462.741690022009</v>
      </c>
      <c r="I80" s="106"/>
      <c r="J80" s="103" t="s">
        <v>142</v>
      </c>
      <c r="K80" s="103" t="s">
        <v>141</v>
      </c>
      <c r="L80" s="111">
        <v>12462.741690022009</v>
      </c>
      <c r="M80" s="111">
        <v>12462.741690022009</v>
      </c>
      <c r="N80" s="111">
        <v>12462.741690022009</v>
      </c>
      <c r="O80" s="111">
        <v>12462.741690022009</v>
      </c>
      <c r="P80" t="str">
        <f t="shared" si="3"/>
        <v/>
      </c>
      <c r="U80" s="144">
        <v>34062.512239999996</v>
      </c>
      <c r="V80" s="144">
        <v>-15401.7</v>
      </c>
      <c r="W80" s="143">
        <v>1.2150000000000001</v>
      </c>
    </row>
    <row r="81" spans="2:23" ht="16.8">
      <c r="B81" s="106"/>
      <c r="C81" s="103" t="s">
        <v>140</v>
      </c>
      <c r="D81" s="103" t="s">
        <v>271</v>
      </c>
      <c r="E81" s="114">
        <v>16227528.242216157</v>
      </c>
      <c r="I81" s="106"/>
      <c r="J81" s="103" t="s">
        <v>140</v>
      </c>
      <c r="K81" s="103" t="s">
        <v>271</v>
      </c>
      <c r="L81" s="135">
        <v>16227528.242216157</v>
      </c>
      <c r="M81" s="135">
        <v>16227528.242216157</v>
      </c>
      <c r="N81" s="135">
        <v>16227528.242216157</v>
      </c>
      <c r="O81" s="135">
        <v>16227528.242216157</v>
      </c>
      <c r="P81" t="str">
        <f t="shared" si="3"/>
        <v/>
      </c>
      <c r="U81" s="144">
        <v>36066.212180000002</v>
      </c>
      <c r="V81" s="144">
        <v>-15401.7</v>
      </c>
      <c r="W81" s="143">
        <v>1.81</v>
      </c>
    </row>
    <row r="82" spans="2:23" ht="15.6">
      <c r="B82" s="106"/>
      <c r="C82" s="103" t="s">
        <v>146</v>
      </c>
      <c r="D82" s="103" t="s">
        <v>141</v>
      </c>
      <c r="E82" s="111">
        <v>31875</v>
      </c>
      <c r="I82" s="106"/>
      <c r="J82" s="103" t="s">
        <v>146</v>
      </c>
      <c r="K82" s="103" t="s">
        <v>141</v>
      </c>
      <c r="L82" s="111">
        <v>31875</v>
      </c>
      <c r="M82" s="111">
        <v>31875</v>
      </c>
      <c r="N82" s="111">
        <v>31875</v>
      </c>
      <c r="O82" s="111">
        <v>31875</v>
      </c>
      <c r="P82" t="str">
        <f t="shared" si="3"/>
        <v/>
      </c>
      <c r="U82" s="144">
        <v>38069.912120000001</v>
      </c>
      <c r="V82" s="144">
        <v>-15401.7</v>
      </c>
      <c r="W82" s="143">
        <v>4.7649999999999997</v>
      </c>
    </row>
    <row r="83" spans="2:23" ht="16.8">
      <c r="B83" s="106"/>
      <c r="C83" s="103" t="s">
        <v>145</v>
      </c>
      <c r="D83" s="103" t="s">
        <v>271</v>
      </c>
      <c r="E83" s="114">
        <v>41503906.25</v>
      </c>
      <c r="I83" s="106"/>
      <c r="J83" s="103" t="s">
        <v>145</v>
      </c>
      <c r="K83" s="103" t="s">
        <v>271</v>
      </c>
      <c r="L83" s="135">
        <v>41503906.25</v>
      </c>
      <c r="M83" s="135">
        <v>41503906.25</v>
      </c>
      <c r="N83" s="135">
        <v>41503906.25</v>
      </c>
      <c r="O83" s="135">
        <v>41503906.25</v>
      </c>
      <c r="P83" t="str">
        <f t="shared" si="3"/>
        <v/>
      </c>
      <c r="U83" s="144">
        <v>40073.534712000001</v>
      </c>
      <c r="V83" s="144">
        <v>-15401.7</v>
      </c>
      <c r="W83" s="143">
        <v>2.5649999999999999</v>
      </c>
    </row>
    <row r="84" spans="2:23" ht="15.6">
      <c r="B84" s="106">
        <f>B79+1</f>
        <v>48</v>
      </c>
      <c r="C84" s="103" t="s">
        <v>152</v>
      </c>
      <c r="D84" s="103" t="s">
        <v>132</v>
      </c>
      <c r="E84" s="111">
        <v>6290.618398144642</v>
      </c>
      <c r="I84" s="106">
        <f>I79+1</f>
        <v>48</v>
      </c>
      <c r="J84" s="103" t="s">
        <v>152</v>
      </c>
      <c r="K84" s="103" t="s">
        <v>132</v>
      </c>
      <c r="L84" s="111">
        <v>6457.3238604573107</v>
      </c>
      <c r="M84" s="111">
        <v>2428.6322106695329</v>
      </c>
      <c r="N84" s="111">
        <v>1572.3994210117937</v>
      </c>
      <c r="O84" s="111">
        <v>982.48391618229562</v>
      </c>
      <c r="P84" t="str">
        <f t="shared" si="3"/>
        <v/>
      </c>
      <c r="U84" s="144">
        <v>42077.234651999999</v>
      </c>
      <c r="V84" s="144">
        <v>-15401.7</v>
      </c>
      <c r="W84" s="143">
        <v>2.3149999999999999</v>
      </c>
    </row>
    <row r="85" spans="2:23" ht="15.6">
      <c r="B85" s="106"/>
      <c r="C85" s="103" t="s">
        <v>353</v>
      </c>
      <c r="D85" s="103" t="s">
        <v>121</v>
      </c>
      <c r="E85" s="108">
        <v>1.5</v>
      </c>
      <c r="I85" s="106"/>
      <c r="J85" s="103" t="s">
        <v>353</v>
      </c>
      <c r="K85" s="103" t="s">
        <v>121</v>
      </c>
      <c r="L85" s="108">
        <v>1.5</v>
      </c>
      <c r="M85" s="108">
        <v>2</v>
      </c>
      <c r="N85" s="108">
        <v>2.5</v>
      </c>
      <c r="O85" s="108">
        <v>2.5</v>
      </c>
      <c r="U85" s="144">
        <v>44080.934591999998</v>
      </c>
      <c r="V85" s="144">
        <v>-15401.7</v>
      </c>
      <c r="W85" s="143">
        <v>2.8</v>
      </c>
    </row>
    <row r="86" spans="2:23" ht="15.6">
      <c r="B86" s="106">
        <f>B84+1</f>
        <v>49</v>
      </c>
      <c r="C86" s="103" t="s">
        <v>149</v>
      </c>
      <c r="D86" s="103" t="s">
        <v>132</v>
      </c>
      <c r="E86" s="111">
        <v>2762.8420208404168</v>
      </c>
      <c r="F86" t="s">
        <v>151</v>
      </c>
      <c r="I86" s="106">
        <f>I84+1</f>
        <v>49</v>
      </c>
      <c r="J86" s="103" t="s">
        <v>149</v>
      </c>
      <c r="K86" s="103" t="s">
        <v>132</v>
      </c>
      <c r="L86" s="111">
        <v>2762.8420208404168</v>
      </c>
      <c r="M86" s="111">
        <v>1041.2419008380168</v>
      </c>
      <c r="N86" s="111">
        <v>512.00952619052384</v>
      </c>
      <c r="O86" s="111">
        <v>278.26526530530617</v>
      </c>
      <c r="P86" t="str">
        <f t="shared" ref="P86:P100" si="4">IF(F86&lt;&gt;"",F86,"")</f>
        <v>Interpolated value</v>
      </c>
      <c r="U86" s="144">
        <v>46084.634531999996</v>
      </c>
      <c r="V86" s="144">
        <v>-15401.7</v>
      </c>
      <c r="W86" s="143">
        <v>4.6749999999999998</v>
      </c>
    </row>
    <row r="87" spans="2:23" ht="15.6">
      <c r="B87" s="106"/>
      <c r="C87" s="103" t="s">
        <v>149</v>
      </c>
      <c r="D87" s="103" t="s">
        <v>132</v>
      </c>
      <c r="E87" s="111">
        <v>2873.9789957155294</v>
      </c>
      <c r="F87" t="s">
        <v>150</v>
      </c>
      <c r="I87" s="106"/>
      <c r="J87" s="103" t="s">
        <v>149</v>
      </c>
      <c r="K87" s="103" t="s">
        <v>132</v>
      </c>
      <c r="L87" s="111">
        <v>2873.9789957155294</v>
      </c>
      <c r="M87" s="111">
        <v>1117.5739946902522</v>
      </c>
      <c r="N87" s="111">
        <v>609.55648707118451</v>
      </c>
      <c r="O87" s="111">
        <v>386.82104021159915</v>
      </c>
      <c r="P87" t="str">
        <f t="shared" si="4"/>
        <v>Simplified formula</v>
      </c>
      <c r="U87" s="144">
        <v>48088.257124000003</v>
      </c>
      <c r="V87" s="144">
        <v>-15401.7</v>
      </c>
      <c r="W87" s="143">
        <v>9.56</v>
      </c>
    </row>
    <row r="88" spans="2:23" ht="15.6">
      <c r="B88" s="106"/>
      <c r="C88" s="103" t="s">
        <v>149</v>
      </c>
      <c r="D88" s="103" t="s">
        <v>132</v>
      </c>
      <c r="E88" s="111">
        <v>2762.8420208404168</v>
      </c>
      <c r="F88" t="s">
        <v>148</v>
      </c>
      <c r="I88" s="106"/>
      <c r="J88" s="103" t="s">
        <v>149</v>
      </c>
      <c r="K88" s="103" t="s">
        <v>132</v>
      </c>
      <c r="L88" s="111">
        <v>2873.9789957155294</v>
      </c>
      <c r="M88" s="111">
        <v>1117.5739946902522</v>
      </c>
      <c r="N88" s="111">
        <v>609.55648707118451</v>
      </c>
      <c r="O88" s="111">
        <v>386.82104021159915</v>
      </c>
      <c r="P88" t="str">
        <f t="shared" si="4"/>
        <v>Value used</v>
      </c>
      <c r="U88" s="144">
        <v>50091.957064000002</v>
      </c>
      <c r="V88" s="144">
        <v>-15401.7</v>
      </c>
      <c r="W88" s="143">
        <v>32.984999999999999</v>
      </c>
    </row>
    <row r="89" spans="2:23" ht="15.6">
      <c r="B89" s="106">
        <f>B86+1</f>
        <v>50</v>
      </c>
      <c r="C89" s="103" t="s">
        <v>147</v>
      </c>
      <c r="D89" s="103" t="s">
        <v>121</v>
      </c>
      <c r="E89" s="109">
        <v>1.8202477434344697</v>
      </c>
      <c r="I89" s="106">
        <f>I86+1</f>
        <v>50</v>
      </c>
      <c r="J89" s="103" t="s">
        <v>147</v>
      </c>
      <c r="K89" s="103" t="s">
        <v>121</v>
      </c>
      <c r="L89" s="109">
        <v>1.8202477434344697</v>
      </c>
      <c r="M89" s="109">
        <v>2.3404954868689396</v>
      </c>
      <c r="N89" s="109">
        <v>2.8607432303034095</v>
      </c>
      <c r="O89" s="109">
        <v>3.3809909737378794</v>
      </c>
      <c r="P89" t="str">
        <f t="shared" si="4"/>
        <v/>
      </c>
      <c r="U89" s="144">
        <v>52095.657004000001</v>
      </c>
      <c r="V89" s="144">
        <v>-15401.7</v>
      </c>
      <c r="W89" s="143">
        <v>6.79</v>
      </c>
    </row>
    <row r="90" spans="2:23" ht="15.6">
      <c r="B90" s="106">
        <f>B89+1</f>
        <v>51</v>
      </c>
      <c r="C90" s="103" t="s">
        <v>144</v>
      </c>
      <c r="D90" s="103" t="s">
        <v>132</v>
      </c>
      <c r="E90" s="107">
        <v>1430.9035779226776</v>
      </c>
      <c r="I90" s="106">
        <f>I89+1</f>
        <v>51</v>
      </c>
      <c r="J90" s="103" t="s">
        <v>144</v>
      </c>
      <c r="K90" s="103" t="s">
        <v>132</v>
      </c>
      <c r="L90" s="107">
        <v>1430.9035779226776</v>
      </c>
      <c r="M90" s="107">
        <v>96.742110644514142</v>
      </c>
      <c r="N90" s="107">
        <v>19.403281333533013</v>
      </c>
      <c r="O90" s="107">
        <v>6.1725262613190992</v>
      </c>
      <c r="P90" t="str">
        <f t="shared" si="4"/>
        <v/>
      </c>
      <c r="U90" s="144">
        <v>54099.279596</v>
      </c>
      <c r="V90" s="144">
        <v>-15401.7</v>
      </c>
      <c r="W90" s="143">
        <v>9.7100000000000009</v>
      </c>
    </row>
    <row r="91" spans="2:23" ht="15.6">
      <c r="B91" s="106">
        <f>B90+1</f>
        <v>52</v>
      </c>
      <c r="C91" s="105" t="s">
        <v>143</v>
      </c>
      <c r="D91" s="103" t="s">
        <v>126</v>
      </c>
      <c r="E91" s="107">
        <v>113.37858601103791</v>
      </c>
      <c r="F91" t="s">
        <v>304</v>
      </c>
      <c r="I91" s="106">
        <f>I90+1</f>
        <v>52</v>
      </c>
      <c r="J91" s="105" t="s">
        <v>143</v>
      </c>
      <c r="K91" s="103" t="s">
        <v>126</v>
      </c>
      <c r="L91" s="107">
        <v>112.87448910309563</v>
      </c>
      <c r="M91" s="107">
        <v>123.13020962944147</v>
      </c>
      <c r="N91" s="107">
        <v>125.29530598220215</v>
      </c>
      <c r="O91" s="107">
        <v>126.19009220116274</v>
      </c>
      <c r="P91" t="str">
        <f t="shared" si="4"/>
        <v>(valid in case T-Flange is calculated)</v>
      </c>
      <c r="U91" s="144">
        <v>56102.979535999999</v>
      </c>
      <c r="V91" s="144">
        <v>-15401.7</v>
      </c>
      <c r="W91" s="143">
        <v>8.19</v>
      </c>
    </row>
    <row r="92" spans="2:23" ht="15.6">
      <c r="B92" s="106">
        <f>B91+1</f>
        <v>53</v>
      </c>
      <c r="C92" s="103" t="s">
        <v>139</v>
      </c>
      <c r="D92" s="103" t="s">
        <v>126</v>
      </c>
      <c r="E92" s="107">
        <v>144.694544425494</v>
      </c>
      <c r="F92" t="s">
        <v>304</v>
      </c>
      <c r="I92" s="106">
        <f>I91+1</f>
        <v>53</v>
      </c>
      <c r="J92" s="103" t="s">
        <v>139</v>
      </c>
      <c r="K92" s="103" t="s">
        <v>126</v>
      </c>
      <c r="L92" s="107">
        <v>148.09719855410455</v>
      </c>
      <c r="M92" s="107">
        <v>78.871085001270089</v>
      </c>
      <c r="N92" s="107">
        <v>64.256684620135459</v>
      </c>
      <c r="O92" s="107">
        <v>58.216877642151466</v>
      </c>
      <c r="P92" t="str">
        <f t="shared" si="4"/>
        <v>(valid in case T-Flange is calculated)</v>
      </c>
      <c r="U92" s="144">
        <v>58106.679475999998</v>
      </c>
      <c r="V92" s="144">
        <v>-15401.7</v>
      </c>
      <c r="W92" s="143">
        <v>5.8150000000000004</v>
      </c>
    </row>
    <row r="93" spans="2:23" ht="15.6">
      <c r="B93" s="106"/>
      <c r="C93" s="105" t="s">
        <v>138</v>
      </c>
      <c r="D93" s="103" t="s">
        <v>126</v>
      </c>
      <c r="E93" s="107">
        <v>0</v>
      </c>
      <c r="F93" t="s">
        <v>411</v>
      </c>
      <c r="I93" s="106"/>
      <c r="J93" s="105" t="s">
        <v>138</v>
      </c>
      <c r="K93" s="103" t="s">
        <v>126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62114.002008000003</v>
      </c>
      <c r="V93" s="144">
        <v>-15401.7</v>
      </c>
      <c r="W93" s="143">
        <v>1.0049999999999999</v>
      </c>
    </row>
    <row r="94" spans="2:23" ht="15.6">
      <c r="B94" s="106">
        <f>B92+1</f>
        <v>54</v>
      </c>
      <c r="C94" s="105" t="s">
        <v>137</v>
      </c>
      <c r="D94" s="103" t="s">
        <v>126</v>
      </c>
      <c r="E94" s="107">
        <v>243.87636574071416</v>
      </c>
      <c r="I94" s="106">
        <f>I92+1</f>
        <v>54</v>
      </c>
      <c r="J94" s="105" t="s">
        <v>137</v>
      </c>
      <c r="K94" s="103" t="s">
        <v>126</v>
      </c>
      <c r="L94" s="107">
        <v>250.33924740429279</v>
      </c>
      <c r="M94" s="107">
        <v>163.38930761213831</v>
      </c>
      <c r="N94" s="107">
        <v>163.62043369414067</v>
      </c>
      <c r="O94" s="107">
        <v>147.22844876718403</v>
      </c>
      <c r="P94" t="str">
        <f t="shared" si="4"/>
        <v/>
      </c>
      <c r="U94" s="144">
        <v>64117.701948000002</v>
      </c>
      <c r="V94" s="144">
        <v>-15401.7</v>
      </c>
      <c r="W94" s="143">
        <v>1.635</v>
      </c>
    </row>
    <row r="95" spans="2:23" ht="15.6">
      <c r="B95" s="106">
        <f>B94+1</f>
        <v>55</v>
      </c>
      <c r="C95" s="103" t="s">
        <v>136</v>
      </c>
      <c r="D95" s="103" t="s">
        <v>126</v>
      </c>
      <c r="E95" s="107">
        <v>1137.5</v>
      </c>
      <c r="I95" s="106">
        <f>I94+1</f>
        <v>55</v>
      </c>
      <c r="J95" s="103" t="s">
        <v>136</v>
      </c>
      <c r="K95" s="103" t="s">
        <v>126</v>
      </c>
      <c r="L95" s="107">
        <v>1137.5</v>
      </c>
      <c r="M95" s="107">
        <v>1137.5</v>
      </c>
      <c r="N95" s="107">
        <v>1137.5</v>
      </c>
      <c r="O95" s="107">
        <v>1137.5</v>
      </c>
      <c r="P95" t="str">
        <f t="shared" si="4"/>
        <v/>
      </c>
      <c r="U95" s="144">
        <v>5.5881996300000004E-3</v>
      </c>
      <c r="V95" s="144">
        <v>-12080.8</v>
      </c>
      <c r="W95" s="143">
        <v>684.9</v>
      </c>
    </row>
    <row r="96" spans="2:23" ht="15.6">
      <c r="B96" s="106">
        <f>B95+1</f>
        <v>56</v>
      </c>
      <c r="C96" s="103" t="s">
        <v>135</v>
      </c>
      <c r="D96" s="103" t="s">
        <v>126</v>
      </c>
      <c r="E96" s="107">
        <v>739.57093344631232</v>
      </c>
      <c r="F96" t="s">
        <v>305</v>
      </c>
      <c r="I96" s="106">
        <f>I95+1</f>
        <v>56</v>
      </c>
      <c r="J96" s="103" t="s">
        <v>135</v>
      </c>
      <c r="K96" s="103" t="s">
        <v>126</v>
      </c>
      <c r="L96" s="107">
        <v>739.57093344631232</v>
      </c>
      <c r="M96" s="107">
        <v>739.57093344631232</v>
      </c>
      <c r="N96" s="107">
        <v>739.57093344631232</v>
      </c>
      <c r="O96" s="107">
        <v>739.57093344631232</v>
      </c>
      <c r="P96" t="str">
        <f t="shared" si="4"/>
        <v>(valid in case L-Flange is calculated)</v>
      </c>
      <c r="U96" s="144">
        <v>2003.6844703999998</v>
      </c>
      <c r="V96" s="144">
        <v>-12080.8</v>
      </c>
      <c r="W96" s="143">
        <v>226.04499999999999</v>
      </c>
    </row>
    <row r="97" spans="2:23" ht="15.6">
      <c r="B97" s="106">
        <f>B96+1</f>
        <v>57</v>
      </c>
      <c r="C97" s="103" t="s">
        <v>135</v>
      </c>
      <c r="D97" s="103" t="s">
        <v>126</v>
      </c>
      <c r="E97" s="107">
        <v>739.57093344631232</v>
      </c>
      <c r="F97" t="s">
        <v>304</v>
      </c>
      <c r="I97" s="106">
        <f>I96+1</f>
        <v>57</v>
      </c>
      <c r="J97" s="103" t="s">
        <v>135</v>
      </c>
      <c r="K97" s="103" t="s">
        <v>126</v>
      </c>
      <c r="L97" s="108">
        <v>739.57093344631232</v>
      </c>
      <c r="M97" s="108">
        <v>739.57093344631232</v>
      </c>
      <c r="N97" s="108">
        <v>739.57093344631232</v>
      </c>
      <c r="O97" s="108">
        <v>739.57093344631232</v>
      </c>
      <c r="P97" t="str">
        <f t="shared" si="4"/>
        <v>(valid in case T-Flange is calculated)</v>
      </c>
      <c r="U97" s="144">
        <v>4007.361206</v>
      </c>
      <c r="V97" s="144">
        <v>-12080.8</v>
      </c>
      <c r="W97" s="143">
        <v>65.11</v>
      </c>
    </row>
    <row r="98" spans="2:23" ht="15.6">
      <c r="B98" s="106">
        <f>B97+1</f>
        <v>58</v>
      </c>
      <c r="C98" s="105" t="s">
        <v>134</v>
      </c>
      <c r="D98" s="103" t="s">
        <v>121</v>
      </c>
      <c r="E98" s="109">
        <v>1.2262664773048815</v>
      </c>
      <c r="I98" s="106">
        <f>I97+1</f>
        <v>58</v>
      </c>
      <c r="J98" s="105" t="s">
        <v>134</v>
      </c>
      <c r="K98" s="103" t="s">
        <v>121</v>
      </c>
      <c r="L98" s="109">
        <v>1.2322626855180667</v>
      </c>
      <c r="M98" s="109">
        <v>1.0873551724484571</v>
      </c>
      <c r="N98" s="109">
        <v>1.0565574408413501</v>
      </c>
      <c r="O98" s="109">
        <v>1.0353388428057946</v>
      </c>
      <c r="P98" t="str">
        <f t="shared" si="4"/>
        <v/>
      </c>
      <c r="U98" s="144">
        <v>6011.0379415999996</v>
      </c>
      <c r="V98" s="144">
        <v>-12080.8</v>
      </c>
      <c r="W98" s="143">
        <v>17.559999999999999</v>
      </c>
    </row>
    <row r="99" spans="2:23">
      <c r="B99" s="106"/>
      <c r="C99" s="105" t="s">
        <v>270</v>
      </c>
      <c r="D99" s="103" t="s">
        <v>124</v>
      </c>
      <c r="E99" s="107">
        <v>99.70193352017607</v>
      </c>
      <c r="I99" s="106"/>
      <c r="J99" s="105" t="s">
        <v>270</v>
      </c>
      <c r="K99" s="103" t="s">
        <v>124</v>
      </c>
      <c r="L99" s="107">
        <v>99.70193352017607</v>
      </c>
      <c r="M99" s="107">
        <v>99.70193352017607</v>
      </c>
      <c r="N99" s="107">
        <v>99.70193352017607</v>
      </c>
      <c r="O99" s="107">
        <v>99.70193352017607</v>
      </c>
      <c r="P99" t="str">
        <f t="shared" si="4"/>
        <v/>
      </c>
      <c r="U99" s="144">
        <v>8014.7224120000001</v>
      </c>
      <c r="V99" s="144">
        <v>-12080.8</v>
      </c>
      <c r="W99" s="143">
        <v>22.63</v>
      </c>
    </row>
    <row r="100" spans="2:23" ht="15.6">
      <c r="B100" s="106">
        <f>B98+1</f>
        <v>59</v>
      </c>
      <c r="C100" s="103" t="s">
        <v>133</v>
      </c>
      <c r="D100" s="103" t="s">
        <v>132</v>
      </c>
      <c r="E100" s="107">
        <v>27801.813477072803</v>
      </c>
      <c r="I100" s="106">
        <f>I98+1</f>
        <v>59</v>
      </c>
      <c r="J100" s="103" t="s">
        <v>133</v>
      </c>
      <c r="K100" s="103" t="s">
        <v>132</v>
      </c>
      <c r="L100" s="107">
        <v>27801.813477072803</v>
      </c>
      <c r="M100" s="107">
        <v>27801.813477072803</v>
      </c>
      <c r="N100" s="107">
        <v>27801.813477072803</v>
      </c>
      <c r="O100" s="107">
        <v>27801.813477072803</v>
      </c>
      <c r="P100" t="str">
        <f t="shared" si="4"/>
        <v/>
      </c>
      <c r="U100" s="144">
        <v>10018.422352</v>
      </c>
      <c r="V100" s="144">
        <v>-12080.8</v>
      </c>
      <c r="W100" s="143">
        <v>18.72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14025.744884</v>
      </c>
      <c r="V101" s="144">
        <v>-12080.8</v>
      </c>
      <c r="W101" s="143">
        <v>1.43</v>
      </c>
    </row>
    <row r="102" spans="2:23">
      <c r="B102" s="106">
        <f>B100+1</f>
        <v>60</v>
      </c>
      <c r="C102" s="103" t="s">
        <v>1</v>
      </c>
      <c r="D102" s="103" t="s">
        <v>124</v>
      </c>
      <c r="E102" s="109">
        <v>0.2668106299486126</v>
      </c>
      <c r="I102" s="106">
        <f>I101+1</f>
        <v>1</v>
      </c>
      <c r="J102" s="103" t="s">
        <v>1</v>
      </c>
      <c r="K102" s="103" t="s">
        <v>124</v>
      </c>
      <c r="L102" s="109">
        <v>0.2668106299486126</v>
      </c>
      <c r="M102" s="109">
        <v>0.2668106299486126</v>
      </c>
      <c r="N102" s="109">
        <v>0.2668106299486126</v>
      </c>
      <c r="O102" s="109">
        <v>0.2668106299486126</v>
      </c>
      <c r="P102" t="str">
        <f t="shared" ref="P102:P121" si="5">IF(F102&lt;&gt;"",F102,"")</f>
        <v/>
      </c>
      <c r="U102" s="144">
        <v>16029.444824</v>
      </c>
      <c r="V102" s="144">
        <v>-12080.8</v>
      </c>
      <c r="W102" s="143">
        <v>5.7</v>
      </c>
    </row>
    <row r="103" spans="2:23">
      <c r="B103" s="106">
        <f>B102+1</f>
        <v>61</v>
      </c>
      <c r="C103" s="103" t="s">
        <v>1</v>
      </c>
      <c r="D103" s="103" t="s">
        <v>124</v>
      </c>
      <c r="E103" s="109">
        <f>E102</f>
        <v>0.2668106299486126</v>
      </c>
      <c r="F103" t="s">
        <v>304</v>
      </c>
      <c r="I103" s="106">
        <f>I102+1</f>
        <v>2</v>
      </c>
      <c r="J103" s="103" t="s">
        <v>1</v>
      </c>
      <c r="K103" s="103" t="s">
        <v>124</v>
      </c>
      <c r="L103" s="109">
        <v>0.2668106299486126</v>
      </c>
      <c r="M103" s="109">
        <v>0.2668106299486126</v>
      </c>
      <c r="N103" s="109">
        <v>0.2668106299486126</v>
      </c>
      <c r="O103" s="109">
        <v>0.2668106299486126</v>
      </c>
      <c r="P103" t="str">
        <f t="shared" si="5"/>
        <v>(valid in case T-Flange is calculated)</v>
      </c>
      <c r="U103" s="144">
        <v>18033.144764000001</v>
      </c>
      <c r="V103" s="144">
        <v>-12080.8</v>
      </c>
      <c r="W103" s="143">
        <v>7.3449999999999998</v>
      </c>
    </row>
    <row r="104" spans="2:23" ht="15.6">
      <c r="B104" s="106"/>
      <c r="C104" s="103" t="s">
        <v>131</v>
      </c>
      <c r="D104" s="103" t="s">
        <v>126</v>
      </c>
      <c r="E104" s="110">
        <v>4340</v>
      </c>
      <c r="F104" t="str">
        <f>"Note that this includes a macro-geometric SCF="&amp;TEXT(V8,"0.00")</f>
        <v>Note that this includes a macro-geometric SCF=1.00</v>
      </c>
      <c r="I104" s="106"/>
      <c r="J104" s="103" t="s">
        <v>131</v>
      </c>
      <c r="K104" s="103" t="s">
        <v>126</v>
      </c>
      <c r="L104" s="110">
        <v>4340</v>
      </c>
      <c r="M104" s="110">
        <v>4340</v>
      </c>
      <c r="N104" s="110">
        <v>4340</v>
      </c>
      <c r="O104" s="110">
        <v>4340</v>
      </c>
      <c r="P104" t="str">
        <f t="shared" si="5"/>
        <v>Note that this includes a macro-geometric SCF=1.00</v>
      </c>
      <c r="U104" s="144">
        <v>20036.767356</v>
      </c>
      <c r="V104" s="144">
        <v>-12080.8</v>
      </c>
      <c r="W104" s="143">
        <v>18.420000000000002</v>
      </c>
    </row>
    <row r="105" spans="2:23" ht="15.6">
      <c r="B105" s="106">
        <f>B103+1</f>
        <v>62</v>
      </c>
      <c r="C105" s="105" t="s">
        <v>130</v>
      </c>
      <c r="D105" s="103" t="s">
        <v>126</v>
      </c>
      <c r="E105" s="109">
        <v>-30.138888888888889</v>
      </c>
      <c r="F105" t="str">
        <f>F104</f>
        <v>Note that this includes a macro-geometric SCF=1.00</v>
      </c>
      <c r="I105" s="106">
        <f>I103+1</f>
        <v>3</v>
      </c>
      <c r="J105" s="105" t="s">
        <v>130</v>
      </c>
      <c r="K105" s="103" t="s">
        <v>126</v>
      </c>
      <c r="L105" s="107">
        <v>-30.138888888888889</v>
      </c>
      <c r="M105" s="107">
        <v>-30.138888888888889</v>
      </c>
      <c r="N105" s="107">
        <v>-30.138888888888889</v>
      </c>
      <c r="O105" s="107">
        <v>-30.138888888888889</v>
      </c>
      <c r="P105" t="str">
        <f t="shared" si="5"/>
        <v>Note that this includes a macro-geometric SCF=1.00</v>
      </c>
      <c r="U105" s="144">
        <v>22040.467295999999</v>
      </c>
      <c r="V105" s="144">
        <v>-12080.8</v>
      </c>
      <c r="W105" s="143">
        <v>7.4249999999999998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24044.167236000001</v>
      </c>
      <c r="V106" s="144">
        <v>-12080.8</v>
      </c>
      <c r="W106" s="143">
        <v>21.594999999999999</v>
      </c>
    </row>
    <row r="107" spans="2:23" ht="15.6">
      <c r="B107" s="106">
        <f t="shared" si="6"/>
        <v>64</v>
      </c>
      <c r="C107" s="103" t="s">
        <v>129</v>
      </c>
      <c r="D107" s="103" t="s">
        <v>126</v>
      </c>
      <c r="E107" s="107">
        <v>-274.01525462960308</v>
      </c>
      <c r="I107" s="106">
        <f t="shared" si="7"/>
        <v>5</v>
      </c>
      <c r="J107" s="103" t="s">
        <v>129</v>
      </c>
      <c r="K107" s="103" t="s">
        <v>126</v>
      </c>
      <c r="L107" s="107">
        <v>-280.47813629318171</v>
      </c>
      <c r="M107" s="107">
        <v>-193.5281965010272</v>
      </c>
      <c r="N107" s="107">
        <v>-193.75932258302956</v>
      </c>
      <c r="O107" s="107">
        <v>-177.36733765607292</v>
      </c>
      <c r="P107" t="str">
        <f t="shared" si="5"/>
        <v/>
      </c>
      <c r="U107" s="144">
        <v>26047.789828000001</v>
      </c>
      <c r="V107" s="144">
        <v>-12080.8</v>
      </c>
      <c r="W107" s="143">
        <v>21.17</v>
      </c>
    </row>
    <row r="108" spans="2:23" ht="15.6">
      <c r="B108" s="106">
        <f t="shared" si="6"/>
        <v>65</v>
      </c>
      <c r="C108" s="105" t="s">
        <v>128</v>
      </c>
      <c r="D108" s="103" t="s">
        <v>121</v>
      </c>
      <c r="E108" s="109">
        <v>3.0306933887231505E-2</v>
      </c>
      <c r="I108" s="106">
        <f t="shared" si="7"/>
        <v>6</v>
      </c>
      <c r="J108" s="105" t="s">
        <v>128</v>
      </c>
      <c r="K108" s="103" t="s">
        <v>121</v>
      </c>
      <c r="L108" s="109">
        <v>4.0892740274784373E-2</v>
      </c>
      <c r="M108" s="109">
        <v>1.6185896286060368E-2</v>
      </c>
      <c r="N108" s="109">
        <v>1.4627522479031332E-2</v>
      </c>
      <c r="O108" s="109">
        <v>9.9283492806988265E-3</v>
      </c>
      <c r="P108" t="str">
        <f t="shared" si="5"/>
        <v/>
      </c>
      <c r="U108" s="144">
        <v>28051.489767999999</v>
      </c>
      <c r="V108" s="144">
        <v>-12080.8</v>
      </c>
      <c r="W108" s="143">
        <v>29.11</v>
      </c>
    </row>
    <row r="109" spans="2:23" ht="15.6">
      <c r="B109" s="106">
        <f t="shared" si="6"/>
        <v>66</v>
      </c>
      <c r="C109" s="103" t="s">
        <v>127</v>
      </c>
      <c r="D109" s="103" t="s">
        <v>126</v>
      </c>
      <c r="E109" s="108">
        <v>906.30442755341892</v>
      </c>
      <c r="I109" s="106">
        <f t="shared" si="7"/>
        <v>7</v>
      </c>
      <c r="J109" s="103" t="s">
        <v>127</v>
      </c>
      <c r="K109" s="103" t="s">
        <v>126</v>
      </c>
      <c r="L109" s="108">
        <v>904.88147108765565</v>
      </c>
      <c r="M109" s="108">
        <v>908.67769880636934</v>
      </c>
      <c r="N109" s="108">
        <v>908.80331921405502</v>
      </c>
      <c r="O109" s="108">
        <v>909.26913226829197</v>
      </c>
      <c r="P109" t="str">
        <f t="shared" si="5"/>
        <v/>
      </c>
      <c r="U109" s="144">
        <v>30055.189708000002</v>
      </c>
      <c r="V109" s="144">
        <v>-12080.8</v>
      </c>
      <c r="W109" s="143">
        <v>19.260000000000002</v>
      </c>
    </row>
    <row r="110" spans="2:23" ht="15.6">
      <c r="B110" s="106">
        <f t="shared" si="6"/>
        <v>67</v>
      </c>
      <c r="C110" s="105" t="s">
        <v>125</v>
      </c>
      <c r="D110" s="103" t="s">
        <v>121</v>
      </c>
      <c r="E110" s="109">
        <v>6.8865873950150841E-2</v>
      </c>
      <c r="F110" t="s">
        <v>305</v>
      </c>
      <c r="I110" s="106">
        <f t="shared" si="7"/>
        <v>8</v>
      </c>
      <c r="J110" s="105" t="s">
        <v>125</v>
      </c>
      <c r="K110" s="103" t="s">
        <v>121</v>
      </c>
      <c r="L110" s="113">
        <v>7.8941441141391233E-2</v>
      </c>
      <c r="M110" s="113">
        <v>5.1522833689621086E-2</v>
      </c>
      <c r="N110" s="113">
        <v>5.1595716492408954E-2</v>
      </c>
      <c r="O110" s="113">
        <v>4.6426703136656047E-2</v>
      </c>
      <c r="P110" t="str">
        <f t="shared" si="5"/>
        <v>(valid in case L-Flange is calculated)</v>
      </c>
      <c r="U110" s="144">
        <v>32058.889648</v>
      </c>
      <c r="V110" s="144">
        <v>-12080.8</v>
      </c>
      <c r="W110" s="143">
        <v>18.965</v>
      </c>
    </row>
    <row r="111" spans="2:23" ht="15.6">
      <c r="B111" s="106">
        <f t="shared" si="6"/>
        <v>68</v>
      </c>
      <c r="C111" s="105" t="s">
        <v>125</v>
      </c>
      <c r="D111" s="103" t="s">
        <v>121</v>
      </c>
      <c r="E111" s="109">
        <f>E110</f>
        <v>6.8865873950150841E-2</v>
      </c>
      <c r="F111" t="s">
        <v>304</v>
      </c>
      <c r="I111" s="106">
        <f t="shared" si="7"/>
        <v>9</v>
      </c>
      <c r="J111" s="105" t="s">
        <v>125</v>
      </c>
      <c r="K111" s="103" t="s">
        <v>121</v>
      </c>
      <c r="L111" s="113">
        <v>7.8941441141391233E-2</v>
      </c>
      <c r="M111" s="113">
        <v>5.1522833689621086E-2</v>
      </c>
      <c r="N111" s="113">
        <v>5.1595716492408954E-2</v>
      </c>
      <c r="O111" s="113">
        <v>4.6426703136656047E-2</v>
      </c>
      <c r="P111" t="str">
        <f t="shared" si="5"/>
        <v>(valid in case T-Flange is calculated)</v>
      </c>
      <c r="U111" s="144">
        <v>34062.512239999996</v>
      </c>
      <c r="V111" s="144">
        <v>-12080.8</v>
      </c>
      <c r="W111" s="143">
        <v>8.6199999999999992</v>
      </c>
    </row>
    <row r="112" spans="2:23" ht="15.6">
      <c r="B112" s="106">
        <f t="shared" si="6"/>
        <v>69</v>
      </c>
      <c r="C112" s="105" t="s">
        <v>123</v>
      </c>
      <c r="D112" s="103" t="s">
        <v>119</v>
      </c>
      <c r="E112" s="128"/>
      <c r="F112" t="s">
        <v>269</v>
      </c>
      <c r="I112" s="106">
        <f t="shared" si="7"/>
        <v>10</v>
      </c>
      <c r="J112" s="105" t="s">
        <v>123</v>
      </c>
      <c r="K112" s="103" t="s">
        <v>119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36066.212180000002</v>
      </c>
      <c r="V112" s="144">
        <v>-12080.8</v>
      </c>
      <c r="W112" s="143">
        <v>13.105</v>
      </c>
    </row>
    <row r="113" spans="2:23">
      <c r="B113" s="106">
        <f t="shared" si="6"/>
        <v>70</v>
      </c>
      <c r="C113" s="105" t="s">
        <v>2</v>
      </c>
      <c r="D113" s="103" t="s">
        <v>124</v>
      </c>
      <c r="E113" s="107">
        <v>59.473589288780936</v>
      </c>
      <c r="I113" s="106">
        <f t="shared" si="7"/>
        <v>11</v>
      </c>
      <c r="J113" s="105" t="s">
        <v>2</v>
      </c>
      <c r="K113" s="103" t="s">
        <v>124</v>
      </c>
      <c r="L113" s="107">
        <v>59.473589288780936</v>
      </c>
      <c r="M113" s="107">
        <v>59.473589288780936</v>
      </c>
      <c r="N113" s="107">
        <v>59.473589288780936</v>
      </c>
      <c r="O113" s="107">
        <v>59.473589288780936</v>
      </c>
      <c r="P113" t="str">
        <f t="shared" si="5"/>
        <v/>
      </c>
      <c r="U113" s="144">
        <v>38069.912120000001</v>
      </c>
      <c r="V113" s="144">
        <v>-12080.8</v>
      </c>
      <c r="W113" s="143">
        <v>4.415</v>
      </c>
    </row>
    <row r="114" spans="2:23" ht="15.6">
      <c r="B114" s="106"/>
      <c r="C114" s="105" t="s">
        <v>267</v>
      </c>
      <c r="D114" s="103" t="s">
        <v>266</v>
      </c>
      <c r="E114" s="114">
        <v>6.7808046075429031E-9</v>
      </c>
      <c r="F114" t="s">
        <v>334</v>
      </c>
      <c r="I114" s="106"/>
      <c r="J114" s="105" t="s">
        <v>267</v>
      </c>
      <c r="K114" s="103" t="s">
        <v>266</v>
      </c>
      <c r="L114" s="114">
        <v>6.7808046075429031E-9</v>
      </c>
      <c r="M114" s="114">
        <v>6.7808046075429031E-9</v>
      </c>
      <c r="N114" s="114">
        <v>6.7808046075429031E-9</v>
      </c>
      <c r="O114" s="114">
        <v>6.7808046075429031E-9</v>
      </c>
      <c r="P114" t="str">
        <f t="shared" si="5"/>
        <v>Bending resilience of bolt assembly (VDI2230)</v>
      </c>
      <c r="U114" s="144">
        <v>40073.534712000001</v>
      </c>
      <c r="V114" s="144">
        <v>-12080.8</v>
      </c>
      <c r="W114" s="143">
        <v>8.52</v>
      </c>
    </row>
    <row r="115" spans="2:23" ht="15.6">
      <c r="B115" s="106">
        <f>B113+1</f>
        <v>71</v>
      </c>
      <c r="C115" s="105" t="s">
        <v>123</v>
      </c>
      <c r="D115" s="103" t="s">
        <v>119</v>
      </c>
      <c r="E115" s="128"/>
      <c r="F115" t="s">
        <v>265</v>
      </c>
      <c r="I115" s="106">
        <f>I113+1</f>
        <v>12</v>
      </c>
      <c r="J115" s="105" t="s">
        <v>123</v>
      </c>
      <c r="K115" s="103" t="s">
        <v>119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42077.234651999999</v>
      </c>
      <c r="V115" s="144">
        <v>-12080.8</v>
      </c>
      <c r="W115" s="143">
        <v>10.005000000000001</v>
      </c>
    </row>
    <row r="116" spans="2:23" ht="15.6">
      <c r="B116" s="106">
        <f>B115+1</f>
        <v>72</v>
      </c>
      <c r="C116" s="105" t="s">
        <v>264</v>
      </c>
      <c r="D116" s="103" t="s">
        <v>121</v>
      </c>
      <c r="E116" s="128"/>
      <c r="F116" t="s">
        <v>263</v>
      </c>
      <c r="I116" s="106">
        <f>I115+1</f>
        <v>13</v>
      </c>
      <c r="J116" s="105" t="s">
        <v>264</v>
      </c>
      <c r="K116" s="103" t="s">
        <v>121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44080.934591999998</v>
      </c>
      <c r="V116" s="144">
        <v>-12080.8</v>
      </c>
      <c r="W116" s="143">
        <v>8.4499999999999993</v>
      </c>
    </row>
    <row r="117" spans="2:23" ht="15.6">
      <c r="B117" s="106">
        <f>B116+1</f>
        <v>73</v>
      </c>
      <c r="C117" s="105" t="s">
        <v>262</v>
      </c>
      <c r="D117" s="103" t="s">
        <v>121</v>
      </c>
      <c r="E117" s="128"/>
      <c r="F117" t="s">
        <v>263</v>
      </c>
      <c r="I117" s="106">
        <f>I116+1</f>
        <v>14</v>
      </c>
      <c r="J117" s="105" t="s">
        <v>262</v>
      </c>
      <c r="K117" s="103" t="s">
        <v>121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46084.634531999996</v>
      </c>
      <c r="V117" s="144">
        <v>-12080.8</v>
      </c>
      <c r="W117" s="143">
        <v>4.7149999999999999</v>
      </c>
    </row>
    <row r="118" spans="2:23" ht="15.6">
      <c r="B118" s="106">
        <f>B117+1</f>
        <v>74</v>
      </c>
      <c r="C118" s="105" t="s">
        <v>122</v>
      </c>
      <c r="D118" s="103" t="s">
        <v>121</v>
      </c>
      <c r="E118" s="109">
        <v>0.18106887865883178</v>
      </c>
      <c r="F118" t="s">
        <v>305</v>
      </c>
      <c r="I118" s="106">
        <f>I117+1</f>
        <v>15</v>
      </c>
      <c r="J118" s="105" t="s">
        <v>122</v>
      </c>
      <c r="K118" s="103" t="s">
        <v>121</v>
      </c>
      <c r="L118" s="109">
        <v>0.20466998551160007</v>
      </c>
      <c r="M118" s="109">
        <v>0.16315984910274961</v>
      </c>
      <c r="N118" s="109">
        <v>0.1632850593274181</v>
      </c>
      <c r="O118" s="109">
        <v>0.15522906132662276</v>
      </c>
      <c r="P118" t="str">
        <f t="shared" si="5"/>
        <v>(valid in case L-Flange is calculated)</v>
      </c>
      <c r="U118" s="144">
        <v>48088.257124000003</v>
      </c>
      <c r="V118" s="144">
        <v>-12080.8</v>
      </c>
      <c r="W118" s="143">
        <v>2.5649999999999999</v>
      </c>
    </row>
    <row r="119" spans="2:23" ht="15.6">
      <c r="C119" s="105" t="s">
        <v>122</v>
      </c>
      <c r="D119" s="103" t="s">
        <v>121</v>
      </c>
      <c r="E119" s="114">
        <v>0.11085822692773759</v>
      </c>
      <c r="F119" t="s">
        <v>304</v>
      </c>
      <c r="J119" s="105" t="s">
        <v>122</v>
      </c>
      <c r="K119" s="103" t="s">
        <v>121</v>
      </c>
      <c r="L119" s="114">
        <v>0.11790212314214009</v>
      </c>
      <c r="M119" s="114">
        <v>7.5765369596284576E-2</v>
      </c>
      <c r="N119" s="114">
        <v>7.5595960291957628E-2</v>
      </c>
      <c r="O119" s="114">
        <v>6.6332947139890075E-2</v>
      </c>
      <c r="P119" t="str">
        <f t="shared" si="5"/>
        <v>(valid in case T-Flange is calculated)</v>
      </c>
      <c r="U119" s="144">
        <v>50091.957064000002</v>
      </c>
      <c r="V119" s="144">
        <v>-12080.8</v>
      </c>
      <c r="W119" s="143">
        <v>1.4450000000000001</v>
      </c>
    </row>
    <row r="120" spans="2:23" ht="15.6">
      <c r="B120" s="106">
        <f>B118+1</f>
        <v>75</v>
      </c>
      <c r="C120" s="105" t="s">
        <v>120</v>
      </c>
      <c r="D120" s="103" t="s">
        <v>119</v>
      </c>
      <c r="E120" s="108">
        <v>-25.452955863567073</v>
      </c>
      <c r="F120" t="s">
        <v>305</v>
      </c>
      <c r="I120" s="106">
        <f>I118+1</f>
        <v>16</v>
      </c>
      <c r="J120" s="105" t="s">
        <v>120</v>
      </c>
      <c r="K120" s="103" t="s">
        <v>119</v>
      </c>
      <c r="L120" s="108">
        <v>-28.975794198718219</v>
      </c>
      <c r="M120" s="108">
        <v>-17.134034459687861</v>
      </c>
      <c r="N120" s="108">
        <v>-17.274038255758533</v>
      </c>
      <c r="O120" s="108">
        <v>-15.422967846551416</v>
      </c>
      <c r="P120" t="str">
        <f t="shared" si="5"/>
        <v>(valid in case L-Flange is calculated)</v>
      </c>
      <c r="U120" s="144">
        <v>60110.379416000003</v>
      </c>
      <c r="V120" s="144">
        <v>-12080.8</v>
      </c>
      <c r="W120" s="143">
        <v>1.9750000000000001</v>
      </c>
    </row>
    <row r="121" spans="2:23" ht="15.6">
      <c r="C121" s="105" t="s">
        <v>120</v>
      </c>
      <c r="D121" s="103" t="s">
        <v>119</v>
      </c>
      <c r="E121" s="109">
        <v>-16.836598620378673</v>
      </c>
      <c r="F121" t="s">
        <v>304</v>
      </c>
      <c r="J121" s="105" t="s">
        <v>120</v>
      </c>
      <c r="K121" s="103" t="s">
        <v>119</v>
      </c>
      <c r="L121" s="108">
        <v>-18.138812268104495</v>
      </c>
      <c r="M121" s="108">
        <v>-8.6810080052337213</v>
      </c>
      <c r="N121" s="108">
        <v>-8.698425339654829</v>
      </c>
      <c r="O121" s="108">
        <v>-7.1985391543906019</v>
      </c>
      <c r="P121" t="str">
        <f t="shared" si="5"/>
        <v>(valid in case T-Flange is calculated)</v>
      </c>
      <c r="U121" s="144">
        <v>62114.002008000003</v>
      </c>
      <c r="V121" s="144">
        <v>-12080.8</v>
      </c>
      <c r="W121" s="143">
        <v>1.905</v>
      </c>
    </row>
    <row r="122" spans="2:23" ht="15.6">
      <c r="C122" s="105" t="s">
        <v>352</v>
      </c>
      <c r="D122" s="103" t="s">
        <v>126</v>
      </c>
      <c r="E122" s="109">
        <v>-30.038888888888888</v>
      </c>
      <c r="J122" s="105" t="s">
        <v>352</v>
      </c>
      <c r="K122" s="103" t="s">
        <v>126</v>
      </c>
      <c r="L122" s="109">
        <v>-30.038888888888888</v>
      </c>
      <c r="M122" s="109">
        <v>-30.038888888888888</v>
      </c>
      <c r="N122" s="109">
        <v>-30.038888888888888</v>
      </c>
      <c r="O122" s="109">
        <v>-30.038888888888888</v>
      </c>
      <c r="U122" s="144">
        <v>64117.701948000002</v>
      </c>
      <c r="V122" s="144">
        <v>-12080.8</v>
      </c>
      <c r="W122" s="143">
        <v>0.92500000000000004</v>
      </c>
    </row>
    <row r="123" spans="2:23" ht="16.2">
      <c r="C123" s="167" t="s">
        <v>350</v>
      </c>
      <c r="D123" s="103" t="s">
        <v>119</v>
      </c>
      <c r="E123" s="113">
        <v>0</v>
      </c>
      <c r="F123" s="142" t="s">
        <v>351</v>
      </c>
      <c r="J123" s="167" t="s">
        <v>350</v>
      </c>
      <c r="K123" s="103" t="s">
        <v>119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351</v>
      </c>
      <c r="U123" s="144">
        <v>66121.401887999993</v>
      </c>
      <c r="V123" s="144">
        <v>-12080.8</v>
      </c>
      <c r="W123" s="143">
        <v>0.98</v>
      </c>
    </row>
    <row r="124" spans="2:23" ht="16.2">
      <c r="C124" s="167" t="s">
        <v>349</v>
      </c>
      <c r="D124" s="103" t="s">
        <v>119</v>
      </c>
      <c r="E124" s="109">
        <v>-13.793206222084164</v>
      </c>
      <c r="F124" s="142" t="s">
        <v>351</v>
      </c>
      <c r="J124" s="167" t="s">
        <v>349</v>
      </c>
      <c r="K124" s="103" t="s">
        <v>119</v>
      </c>
      <c r="L124" s="109">
        <v>-13.776644218722884</v>
      </c>
      <c r="M124" s="109">
        <v>-14.228022333040093</v>
      </c>
      <c r="N124" s="109">
        <v>-14.339909044537135</v>
      </c>
      <c r="O124" s="109">
        <v>-14.420868090590684</v>
      </c>
      <c r="P124" s="142" t="s">
        <v>351</v>
      </c>
      <c r="U124" s="144">
        <v>68125.024479999993</v>
      </c>
      <c r="V124" s="144">
        <v>-12080.8</v>
      </c>
      <c r="W124" s="143">
        <v>0.98</v>
      </c>
    </row>
    <row r="125" spans="2:23" ht="16.2">
      <c r="C125" s="167" t="s">
        <v>348</v>
      </c>
      <c r="D125" s="103" t="s">
        <v>119</v>
      </c>
      <c r="E125" s="113">
        <v>-3.3187478725806674</v>
      </c>
      <c r="F125" s="142" t="s">
        <v>351</v>
      </c>
      <c r="J125" s="167" t="s">
        <v>348</v>
      </c>
      <c r="K125" s="103" t="s">
        <v>119</v>
      </c>
      <c r="L125" s="113">
        <v>-3.381047880718691</v>
      </c>
      <c r="M125" s="113">
        <v>-2.4913823655763765</v>
      </c>
      <c r="N125" s="113">
        <v>-2.5139034354072565</v>
      </c>
      <c r="O125" s="113">
        <v>-2.3154906996097862</v>
      </c>
      <c r="P125" s="142" t="s">
        <v>351</v>
      </c>
      <c r="U125" s="144">
        <v>5.5881996300000004E-3</v>
      </c>
      <c r="V125" s="144">
        <v>-8759.84</v>
      </c>
      <c r="W125" s="143">
        <v>1805.14</v>
      </c>
    </row>
    <row r="126" spans="2:23" ht="16.2">
      <c r="C126" s="167" t="s">
        <v>350</v>
      </c>
      <c r="D126" s="103" t="s">
        <v>119</v>
      </c>
      <c r="E126" s="113">
        <v>1.8841530121448938E-3</v>
      </c>
      <c r="F126" s="142" t="s">
        <v>347</v>
      </c>
      <c r="J126" s="167" t="s">
        <v>350</v>
      </c>
      <c r="K126" s="103" t="s">
        <v>119</v>
      </c>
      <c r="L126" s="113">
        <v>2.5422624423269242E-3</v>
      </c>
      <c r="M126" s="113">
        <v>1.0062616480809342E-3</v>
      </c>
      <c r="N126" s="113">
        <v>9.0937904314680382E-4</v>
      </c>
      <c r="O126" s="113">
        <v>6.1723595242131884E-4</v>
      </c>
      <c r="P126" s="142" t="s">
        <v>347</v>
      </c>
      <c r="U126" s="144">
        <v>2003.6844703999998</v>
      </c>
      <c r="V126" s="144">
        <v>-8759.84</v>
      </c>
      <c r="W126" s="143">
        <v>290.49</v>
      </c>
    </row>
    <row r="127" spans="2:23" ht="16.2">
      <c r="C127" s="167" t="s">
        <v>349</v>
      </c>
      <c r="D127" s="103" t="s">
        <v>119</v>
      </c>
      <c r="E127" s="109">
        <v>-13.747440745218261</v>
      </c>
      <c r="F127" s="142" t="s">
        <v>347</v>
      </c>
      <c r="J127" s="167" t="s">
        <v>349</v>
      </c>
      <c r="K127" s="103" t="s">
        <v>119</v>
      </c>
      <c r="L127" s="109">
        <v>-13.7309336941262</v>
      </c>
      <c r="M127" s="109">
        <v>-14.180814148340605</v>
      </c>
      <c r="N127" s="109">
        <v>-14.292329622822542</v>
      </c>
      <c r="O127" s="109">
        <v>-14.373020048999784</v>
      </c>
      <c r="P127" s="142" t="s">
        <v>347</v>
      </c>
      <c r="U127" s="144">
        <v>4007.361206</v>
      </c>
      <c r="V127" s="144">
        <v>-8759.84</v>
      </c>
      <c r="W127" s="143">
        <v>140.23500000000001</v>
      </c>
    </row>
    <row r="128" spans="2:23" ht="16.2">
      <c r="C128" s="167" t="s">
        <v>348</v>
      </c>
      <c r="D128" s="103" t="s">
        <v>119</v>
      </c>
      <c r="E128" s="113">
        <v>-3.3076620498878935</v>
      </c>
      <c r="F128" s="142" t="s">
        <v>347</v>
      </c>
      <c r="J128" s="167" t="s">
        <v>348</v>
      </c>
      <c r="K128" s="103" t="s">
        <v>119</v>
      </c>
      <c r="L128" s="113">
        <v>-3.3692576684044768</v>
      </c>
      <c r="M128" s="113">
        <v>-2.4838058286167479</v>
      </c>
      <c r="N128" s="113">
        <v>-2.5063438393780606</v>
      </c>
      <c r="O128" s="113">
        <v>-2.308857404895797</v>
      </c>
      <c r="P128" s="142" t="s">
        <v>347</v>
      </c>
      <c r="U128" s="144">
        <v>6011.0379415999996</v>
      </c>
      <c r="V128" s="144">
        <v>-8759.84</v>
      </c>
      <c r="W128" s="143">
        <v>25020.3</v>
      </c>
    </row>
    <row r="129" spans="3:23" ht="16.2">
      <c r="C129" s="167" t="s">
        <v>346</v>
      </c>
      <c r="D129" s="103" t="s">
        <v>119</v>
      </c>
      <c r="E129" s="113">
        <v>-3.3737458255359489</v>
      </c>
      <c r="J129" s="167" t="s">
        <v>346</v>
      </c>
      <c r="K129" s="103" t="s">
        <v>119</v>
      </c>
      <c r="L129" s="108">
        <v>-3.3573291291074807</v>
      </c>
      <c r="M129" s="108">
        <v>-3.8047470721882499</v>
      </c>
      <c r="N129" s="108">
        <v>-3.9156521442957084</v>
      </c>
      <c r="O129" s="108">
        <v>-3.9959008951990436</v>
      </c>
      <c r="U129" s="144">
        <v>8014.7224120000001</v>
      </c>
      <c r="V129" s="144">
        <v>-8759.84</v>
      </c>
      <c r="W129" s="143">
        <v>9.1150000000000002</v>
      </c>
    </row>
    <row r="130" spans="3:23" ht="16.2">
      <c r="C130" s="167" t="s">
        <v>345</v>
      </c>
      <c r="D130" s="103" t="s">
        <v>119</v>
      </c>
      <c r="E130" s="113">
        <v>586.96166557122535</v>
      </c>
      <c r="J130" s="167" t="s">
        <v>345</v>
      </c>
      <c r="K130" s="103" t="s">
        <v>119</v>
      </c>
      <c r="L130" s="108">
        <v>586.0745173567467</v>
      </c>
      <c r="M130" s="108">
        <v>598.00998018136954</v>
      </c>
      <c r="N130" s="108">
        <v>597.9782539171988</v>
      </c>
      <c r="O130" s="108">
        <v>600.22835238978121</v>
      </c>
      <c r="U130" s="144">
        <v>10018.422352</v>
      </c>
      <c r="V130" s="144">
        <v>-8759.84</v>
      </c>
      <c r="W130" s="143">
        <v>75.650000000000006</v>
      </c>
    </row>
    <row r="131" spans="3:23" ht="16.2">
      <c r="C131" s="167" t="s">
        <v>344</v>
      </c>
      <c r="D131" s="103" t="s">
        <v>119</v>
      </c>
      <c r="E131" s="113">
        <v>16.933101559822063</v>
      </c>
      <c r="J131" s="167" t="s">
        <v>344</v>
      </c>
      <c r="K131" s="103" t="s">
        <v>119</v>
      </c>
      <c r="L131" s="108">
        <v>18.707808338087705</v>
      </c>
      <c r="M131" s="108">
        <v>13.343350692493393</v>
      </c>
      <c r="N131" s="108">
        <v>13.221016109301797</v>
      </c>
      <c r="O131" s="108">
        <v>12.321931253534766</v>
      </c>
      <c r="U131" s="144">
        <v>12022.044943999999</v>
      </c>
      <c r="V131" s="144">
        <v>-8759.84</v>
      </c>
      <c r="W131" s="143">
        <v>12504.7</v>
      </c>
    </row>
    <row r="132" spans="3:23" ht="15.6">
      <c r="C132" s="112" t="s">
        <v>343</v>
      </c>
      <c r="E132" s="135">
        <v>1.1667052978309505E-3</v>
      </c>
      <c r="F132" t="s">
        <v>337</v>
      </c>
      <c r="J132" s="112" t="s">
        <v>343</v>
      </c>
      <c r="L132" s="135">
        <v>1.1478902946851089E-3</v>
      </c>
      <c r="M132" s="135">
        <v>1.14739930289217E-3</v>
      </c>
      <c r="N132" s="135">
        <v>1.2201476446256237E-3</v>
      </c>
      <c r="O132" s="135">
        <v>1.2184744614676818E-3</v>
      </c>
      <c r="P132" t="s">
        <v>337</v>
      </c>
      <c r="U132" s="144">
        <v>14025.744884</v>
      </c>
      <c r="V132" s="144">
        <v>-8759.84</v>
      </c>
      <c r="W132" s="143">
        <v>14.58</v>
      </c>
    </row>
    <row r="133" spans="3:23" ht="15.6">
      <c r="C133" s="112" t="s">
        <v>342</v>
      </c>
      <c r="E133" s="135">
        <v>0.25127861080073621</v>
      </c>
      <c r="F133" t="s">
        <v>338</v>
      </c>
      <c r="J133" s="112" t="s">
        <v>342</v>
      </c>
      <c r="L133" s="135">
        <v>0.27374747258086779</v>
      </c>
      <c r="M133" s="135">
        <v>0.23220778937711761</v>
      </c>
      <c r="N133" s="135">
        <v>0.23671083314018865</v>
      </c>
      <c r="O133" s="135">
        <v>0.2285541466945604</v>
      </c>
      <c r="P133" t="s">
        <v>338</v>
      </c>
      <c r="U133" s="144">
        <v>16029.444824</v>
      </c>
      <c r="V133" s="144">
        <v>-8759.84</v>
      </c>
      <c r="W133" s="143">
        <v>18.574999999999999</v>
      </c>
    </row>
    <row r="134" spans="3:23" ht="15.6">
      <c r="C134" s="112" t="s">
        <v>341</v>
      </c>
      <c r="E134" s="135">
        <v>3.1397324874560866</v>
      </c>
      <c r="F134" t="s">
        <v>339</v>
      </c>
      <c r="J134" s="112" t="s">
        <v>341</v>
      </c>
      <c r="L134" s="135">
        <v>3.8504263700036461</v>
      </c>
      <c r="M134" s="135">
        <v>2.1514945240487009</v>
      </c>
      <c r="N134" s="135">
        <v>2.1102250405124323</v>
      </c>
      <c r="O134" s="135">
        <v>1.7856626634338113</v>
      </c>
      <c r="P134" t="s">
        <v>339</v>
      </c>
      <c r="U134" s="144">
        <v>18033.144764000001</v>
      </c>
      <c r="V134" s="144">
        <v>-8759.84</v>
      </c>
      <c r="W134" s="143">
        <v>60.094999999999999</v>
      </c>
    </row>
    <row r="135" spans="3:23">
      <c r="C135" s="112"/>
      <c r="J135" s="112"/>
      <c r="L135" s="112"/>
      <c r="M135" s="112"/>
      <c r="N135" s="112"/>
      <c r="O135" s="112"/>
      <c r="U135" s="144">
        <v>20036.767356</v>
      </c>
      <c r="V135" s="144">
        <v>-8759.84</v>
      </c>
      <c r="W135" s="143">
        <v>11.11</v>
      </c>
    </row>
    <row r="136" spans="3:23">
      <c r="C136" s="103" t="s">
        <v>91</v>
      </c>
      <c r="D136" s="166"/>
      <c r="E136" s="109">
        <v>0.38100193002321342</v>
      </c>
      <c r="F136" t="s">
        <v>340</v>
      </c>
      <c r="J136" s="103" t="s">
        <v>91</v>
      </c>
      <c r="K136" s="166"/>
      <c r="L136" s="109">
        <v>0.41798372950084062</v>
      </c>
      <c r="M136" s="109">
        <v>0.29132495928915814</v>
      </c>
      <c r="N136" s="109">
        <v>0.37061303507000304</v>
      </c>
      <c r="O136" s="109">
        <v>0.34430849726122487</v>
      </c>
      <c r="P136" t="s">
        <v>340</v>
      </c>
      <c r="U136" s="144">
        <v>22040.467295999999</v>
      </c>
      <c r="V136" s="144">
        <v>-8759.84</v>
      </c>
      <c r="W136" s="143">
        <v>2.4550000000000001</v>
      </c>
    </row>
    <row r="137" spans="3:23">
      <c r="D137" s="145"/>
      <c r="U137" s="144">
        <v>24044.167236000001</v>
      </c>
      <c r="V137" s="144">
        <v>-8759.84</v>
      </c>
      <c r="W137" s="143">
        <v>8.4250000000000007</v>
      </c>
    </row>
    <row r="138" spans="3:23">
      <c r="U138" s="144">
        <v>26047.789828000001</v>
      </c>
      <c r="V138" s="144">
        <v>-8759.84</v>
      </c>
      <c r="W138" s="143">
        <v>18.085000000000001</v>
      </c>
    </row>
    <row r="139" spans="3:23">
      <c r="U139" s="144">
        <v>28051.489767999999</v>
      </c>
      <c r="V139" s="144">
        <v>-8759.84</v>
      </c>
      <c r="W139" s="143">
        <v>4.3949999999999996</v>
      </c>
    </row>
    <row r="140" spans="3:23">
      <c r="U140" s="144">
        <v>30055.189708000002</v>
      </c>
      <c r="V140" s="144">
        <v>-8759.84</v>
      </c>
      <c r="W140" s="143">
        <v>7.6749999999999998</v>
      </c>
    </row>
    <row r="141" spans="3:23">
      <c r="U141" s="144">
        <v>32058.889648</v>
      </c>
      <c r="V141" s="144">
        <v>-8759.84</v>
      </c>
      <c r="W141" s="143">
        <v>58.27</v>
      </c>
    </row>
    <row r="142" spans="3:23">
      <c r="U142" s="144">
        <v>34062.512239999996</v>
      </c>
      <c r="V142" s="144">
        <v>-8759.84</v>
      </c>
      <c r="W142" s="143">
        <v>10.49</v>
      </c>
    </row>
    <row r="143" spans="3:23">
      <c r="U143" s="144">
        <v>36066.212180000002</v>
      </c>
      <c r="V143" s="144">
        <v>-8759.84</v>
      </c>
      <c r="W143" s="143">
        <v>20.82</v>
      </c>
    </row>
    <row r="144" spans="3:23">
      <c r="U144" s="144">
        <v>38069.912120000001</v>
      </c>
      <c r="V144" s="144">
        <v>-8759.84</v>
      </c>
      <c r="W144" s="143">
        <v>10.61</v>
      </c>
    </row>
    <row r="145" spans="21:23">
      <c r="U145" s="144">
        <v>40073.534712000001</v>
      </c>
      <c r="V145" s="144">
        <v>-8759.84</v>
      </c>
      <c r="W145" s="143">
        <v>3.355</v>
      </c>
    </row>
    <row r="146" spans="21:23">
      <c r="U146" s="144">
        <v>42077.234651999999</v>
      </c>
      <c r="V146" s="144">
        <v>-8759.84</v>
      </c>
      <c r="W146" s="143">
        <v>2.3250000000000002</v>
      </c>
    </row>
    <row r="147" spans="21:23">
      <c r="U147" s="144">
        <v>44080.934591999998</v>
      </c>
      <c r="V147" s="144">
        <v>-8759.84</v>
      </c>
      <c r="W147" s="143">
        <v>4.0750000000000002</v>
      </c>
    </row>
    <row r="148" spans="21:23">
      <c r="U148" s="144">
        <v>46084.634531999996</v>
      </c>
      <c r="V148" s="144">
        <v>-8759.84</v>
      </c>
      <c r="W148" s="143">
        <v>6.13</v>
      </c>
    </row>
    <row r="149" spans="21:23">
      <c r="U149" s="144">
        <v>52095.657004000001</v>
      </c>
      <c r="V149" s="144">
        <v>-8759.84</v>
      </c>
      <c r="W149" s="143">
        <v>4.625</v>
      </c>
    </row>
    <row r="150" spans="21:23">
      <c r="U150" s="144">
        <v>54099.279596</v>
      </c>
      <c r="V150" s="144">
        <v>-8759.84</v>
      </c>
      <c r="W150" s="143">
        <v>6.13</v>
      </c>
    </row>
    <row r="151" spans="21:23">
      <c r="U151" s="144">
        <v>56102.979535999999</v>
      </c>
      <c r="V151" s="144">
        <v>-8759.84</v>
      </c>
      <c r="W151" s="143">
        <v>2.4300000000000002</v>
      </c>
    </row>
    <row r="152" spans="21:23">
      <c r="U152" s="144">
        <v>68125.024479999993</v>
      </c>
      <c r="V152" s="144">
        <v>-8759.84</v>
      </c>
      <c r="W152" s="143">
        <v>2.9</v>
      </c>
    </row>
    <row r="153" spans="21:23">
      <c r="U153" s="144">
        <v>70128.724419999999</v>
      </c>
      <c r="V153" s="144">
        <v>-8759.84</v>
      </c>
      <c r="W153" s="143">
        <v>4.8449999999999998</v>
      </c>
    </row>
    <row r="154" spans="21:23">
      <c r="U154" s="144">
        <v>72132.424360000005</v>
      </c>
      <c r="V154" s="144">
        <v>-8759.84</v>
      </c>
      <c r="W154" s="143">
        <v>1.9750000000000001</v>
      </c>
    </row>
    <row r="155" spans="21:23">
      <c r="U155" s="144">
        <v>5.5881996300000004E-3</v>
      </c>
      <c r="V155" s="144">
        <v>-5438.92</v>
      </c>
      <c r="W155" s="143">
        <v>16695.099999999999</v>
      </c>
    </row>
    <row r="156" spans="21:23">
      <c r="U156" s="144">
        <v>2003.6844703999998</v>
      </c>
      <c r="V156" s="144">
        <v>-5438.92</v>
      </c>
      <c r="W156" s="143">
        <v>14281.3</v>
      </c>
    </row>
    <row r="157" spans="21:23">
      <c r="U157" s="144">
        <v>4007.361206</v>
      </c>
      <c r="V157" s="144">
        <v>-5438.92</v>
      </c>
      <c r="W157" s="143">
        <v>879.8</v>
      </c>
    </row>
    <row r="158" spans="21:23">
      <c r="U158" s="144">
        <v>6011.0379415999996</v>
      </c>
      <c r="V158" s="144">
        <v>-5438.92</v>
      </c>
      <c r="W158" s="143">
        <v>50032.7</v>
      </c>
    </row>
    <row r="159" spans="21:23">
      <c r="U159" s="144">
        <v>8014.7224120000001</v>
      </c>
      <c r="V159" s="144">
        <v>-5438.92</v>
      </c>
      <c r="W159" s="143">
        <v>58.42</v>
      </c>
    </row>
    <row r="160" spans="21:23">
      <c r="U160" s="144">
        <v>10018.422352</v>
      </c>
      <c r="V160" s="144">
        <v>-5438.92</v>
      </c>
      <c r="W160" s="143">
        <v>54.28</v>
      </c>
    </row>
    <row r="161" spans="21:23">
      <c r="U161" s="144">
        <v>12022.044943999999</v>
      </c>
      <c r="V161" s="144">
        <v>-5438.92</v>
      </c>
      <c r="W161" s="143">
        <v>29.225000000000001</v>
      </c>
    </row>
    <row r="162" spans="21:23">
      <c r="U162" s="144">
        <v>14025.744884</v>
      </c>
      <c r="V162" s="144">
        <v>-5438.92</v>
      </c>
      <c r="W162" s="143">
        <v>20.895</v>
      </c>
    </row>
    <row r="163" spans="21:23">
      <c r="U163" s="144">
        <v>16029.444824</v>
      </c>
      <c r="V163" s="144">
        <v>-5438.92</v>
      </c>
      <c r="W163" s="143">
        <v>12508.3</v>
      </c>
    </row>
    <row r="164" spans="21:23">
      <c r="U164" s="144">
        <v>18033.144764000001</v>
      </c>
      <c r="V164" s="144">
        <v>-5438.92</v>
      </c>
      <c r="W164" s="143">
        <v>15.12</v>
      </c>
    </row>
    <row r="165" spans="21:23">
      <c r="U165" s="144">
        <v>20036.767356</v>
      </c>
      <c r="V165" s="144">
        <v>-5438.92</v>
      </c>
      <c r="W165" s="143">
        <v>14.955</v>
      </c>
    </row>
    <row r="166" spans="21:23">
      <c r="U166" s="144">
        <v>22040.467295999999</v>
      </c>
      <c r="V166" s="144">
        <v>-5438.92</v>
      </c>
      <c r="W166" s="143">
        <v>15.725</v>
      </c>
    </row>
    <row r="167" spans="21:23">
      <c r="U167" s="144">
        <v>24044.167236000001</v>
      </c>
      <c r="V167" s="144">
        <v>-5438.92</v>
      </c>
      <c r="W167" s="143">
        <v>10.895</v>
      </c>
    </row>
    <row r="168" spans="21:23">
      <c r="U168" s="144">
        <v>26047.789828000001</v>
      </c>
      <c r="V168" s="144">
        <v>-5438.92</v>
      </c>
      <c r="W168" s="143">
        <v>17.29</v>
      </c>
    </row>
    <row r="169" spans="21:23">
      <c r="U169" s="144">
        <v>28051.489767999999</v>
      </c>
      <c r="V169" s="144">
        <v>-5438.92</v>
      </c>
      <c r="W169" s="143">
        <v>34.43</v>
      </c>
    </row>
    <row r="170" spans="21:23">
      <c r="U170" s="144">
        <v>30055.189708000002</v>
      </c>
      <c r="V170" s="144">
        <v>-5438.92</v>
      </c>
      <c r="W170" s="143">
        <v>44.25</v>
      </c>
    </row>
    <row r="171" spans="21:23">
      <c r="U171" s="144">
        <v>32058.889648</v>
      </c>
      <c r="V171" s="144">
        <v>-5438.92</v>
      </c>
      <c r="W171" s="143">
        <v>54.145000000000003</v>
      </c>
    </row>
    <row r="172" spans="21:23">
      <c r="U172" s="144">
        <v>34062.512239999996</v>
      </c>
      <c r="V172" s="144">
        <v>-5438.92</v>
      </c>
      <c r="W172" s="143">
        <v>30.1</v>
      </c>
    </row>
    <row r="173" spans="21:23">
      <c r="U173" s="144">
        <v>36066.212180000002</v>
      </c>
      <c r="V173" s="144">
        <v>-5438.92</v>
      </c>
      <c r="W173" s="143">
        <v>33.305</v>
      </c>
    </row>
    <row r="174" spans="21:23">
      <c r="U174" s="144">
        <v>38069.912120000001</v>
      </c>
      <c r="V174" s="144">
        <v>-5438.92</v>
      </c>
      <c r="W174" s="143">
        <v>15.65</v>
      </c>
    </row>
    <row r="175" spans="21:23">
      <c r="U175" s="144">
        <v>40073.534712000001</v>
      </c>
      <c r="V175" s="144">
        <v>-5438.92</v>
      </c>
      <c r="W175" s="143">
        <v>0.02</v>
      </c>
    </row>
    <row r="176" spans="21:23">
      <c r="U176" s="144">
        <v>42077.234651999999</v>
      </c>
      <c r="V176" s="144">
        <v>-5438.92</v>
      </c>
      <c r="W176" s="143">
        <v>0.13</v>
      </c>
    </row>
    <row r="177" spans="21:23">
      <c r="U177" s="144">
        <v>44080.934591999998</v>
      </c>
      <c r="V177" s="144">
        <v>-5438.92</v>
      </c>
      <c r="W177" s="143">
        <v>1.0049999999999999</v>
      </c>
    </row>
    <row r="178" spans="21:23">
      <c r="U178" s="144">
        <v>68125.024479999993</v>
      </c>
      <c r="V178" s="144">
        <v>-5438.92</v>
      </c>
      <c r="W178" s="143">
        <v>0.98</v>
      </c>
    </row>
    <row r="179" spans="21:23">
      <c r="U179" s="144">
        <v>70128.724419999999</v>
      </c>
      <c r="V179" s="144">
        <v>-5438.92</v>
      </c>
      <c r="W179" s="143">
        <v>0.90500000000000003</v>
      </c>
    </row>
    <row r="180" spans="21:23">
      <c r="U180" s="144">
        <v>74136.124299999996</v>
      </c>
      <c r="V180" s="144">
        <v>-5438.92</v>
      </c>
      <c r="W180" s="143">
        <v>0.96499999999999997</v>
      </c>
    </row>
    <row r="181" spans="21:23">
      <c r="U181" s="144">
        <v>76139.746891999996</v>
      </c>
      <c r="V181" s="144">
        <v>-5438.92</v>
      </c>
      <c r="W181" s="143">
        <v>0.81499999999999995</v>
      </c>
    </row>
    <row r="182" spans="21:23">
      <c r="U182" s="144">
        <v>78143.137440000006</v>
      </c>
      <c r="V182" s="144">
        <v>-5438.92</v>
      </c>
      <c r="W182" s="143">
        <v>0.81499999999999995</v>
      </c>
    </row>
    <row r="183" spans="21:23">
      <c r="U183" s="144">
        <v>80147.224119999999</v>
      </c>
      <c r="V183" s="144">
        <v>-5438.92</v>
      </c>
      <c r="W183" s="143">
        <v>2.8650000000000002</v>
      </c>
    </row>
    <row r="184" spans="21:23">
      <c r="U184" s="144">
        <v>82150.537320000003</v>
      </c>
      <c r="V184" s="144">
        <v>-5438.92</v>
      </c>
      <c r="W184" s="143">
        <v>2.9550000000000001</v>
      </c>
    </row>
    <row r="185" spans="21:23">
      <c r="U185" s="144">
        <v>84154.623999999996</v>
      </c>
      <c r="V185" s="144">
        <v>-5438.92</v>
      </c>
      <c r="W185" s="143">
        <v>1.96</v>
      </c>
    </row>
    <row r="186" spans="21:23">
      <c r="U186" s="144">
        <v>86157.9372</v>
      </c>
      <c r="V186" s="144">
        <v>-5438.92</v>
      </c>
      <c r="W186" s="143">
        <v>0.995</v>
      </c>
    </row>
    <row r="187" spans="21:23">
      <c r="U187" s="144">
        <v>92169.423760000005</v>
      </c>
      <c r="V187" s="144">
        <v>-5438.92</v>
      </c>
      <c r="W187" s="143">
        <v>1.2150000000000001</v>
      </c>
    </row>
    <row r="188" spans="21:23">
      <c r="U188" s="144">
        <v>5.5881996300000004E-3</v>
      </c>
      <c r="V188" s="144">
        <v>-2118.0100000000002</v>
      </c>
      <c r="W188" s="143">
        <v>4381480</v>
      </c>
    </row>
    <row r="189" spans="21:23">
      <c r="U189" s="144">
        <v>2003.6844703999998</v>
      </c>
      <c r="V189" s="144">
        <v>-2118.0100000000002</v>
      </c>
      <c r="W189" s="143">
        <v>51772.9</v>
      </c>
    </row>
    <row r="190" spans="21:23">
      <c r="U190" s="144">
        <v>4007.361206</v>
      </c>
      <c r="V190" s="144">
        <v>-2118.0100000000002</v>
      </c>
      <c r="W190" s="143">
        <v>540428</v>
      </c>
    </row>
    <row r="191" spans="21:23">
      <c r="U191" s="144">
        <v>6011.0379415999996</v>
      </c>
      <c r="V191" s="144">
        <v>-2118.0100000000002</v>
      </c>
      <c r="W191" s="143">
        <v>327332</v>
      </c>
    </row>
    <row r="192" spans="21:23">
      <c r="U192" s="144">
        <v>8014.7224120000001</v>
      </c>
      <c r="V192" s="144">
        <v>-2118.0100000000002</v>
      </c>
      <c r="W192" s="143">
        <v>13387.6</v>
      </c>
    </row>
    <row r="193" spans="21:23">
      <c r="U193" s="144">
        <v>10018.422352</v>
      </c>
      <c r="V193" s="144">
        <v>-2118.0100000000002</v>
      </c>
      <c r="W193" s="143">
        <v>591.65499999999997</v>
      </c>
    </row>
    <row r="194" spans="21:23">
      <c r="U194" s="144">
        <v>12022.044943999999</v>
      </c>
      <c r="V194" s="144">
        <v>-2118.0100000000002</v>
      </c>
      <c r="W194" s="143">
        <v>13241.1</v>
      </c>
    </row>
    <row r="195" spans="21:23">
      <c r="U195" s="144">
        <v>14025.744884</v>
      </c>
      <c r="V195" s="144">
        <v>-2118.0100000000002</v>
      </c>
      <c r="W195" s="143">
        <v>762.8</v>
      </c>
    </row>
    <row r="196" spans="21:23">
      <c r="U196" s="144">
        <v>16029.444824</v>
      </c>
      <c r="V196" s="144">
        <v>-2118.0100000000002</v>
      </c>
      <c r="W196" s="143">
        <v>790.21</v>
      </c>
    </row>
    <row r="197" spans="21:23">
      <c r="U197" s="144">
        <v>18033.144764000001</v>
      </c>
      <c r="V197" s="144">
        <v>-2118.0100000000002</v>
      </c>
      <c r="W197" s="143">
        <v>753.95</v>
      </c>
    </row>
    <row r="198" spans="21:23">
      <c r="U198" s="144">
        <v>20036.767356</v>
      </c>
      <c r="V198" s="144">
        <v>-2118.0100000000002</v>
      </c>
      <c r="W198" s="143">
        <v>657.72500000000002</v>
      </c>
    </row>
    <row r="199" spans="21:23">
      <c r="U199" s="144">
        <v>22040.467295999999</v>
      </c>
      <c r="V199" s="144">
        <v>-2118.0100000000002</v>
      </c>
      <c r="W199" s="143">
        <v>565.58000000000004</v>
      </c>
    </row>
    <row r="200" spans="21:23">
      <c r="U200" s="144">
        <v>24044.167236000001</v>
      </c>
      <c r="V200" s="144">
        <v>-2118.0100000000002</v>
      </c>
      <c r="W200" s="143">
        <v>501.16</v>
      </c>
    </row>
    <row r="201" spans="21:23">
      <c r="U201" s="144">
        <v>26047.789828000001</v>
      </c>
      <c r="V201" s="144">
        <v>-2118.0100000000002</v>
      </c>
      <c r="W201" s="143">
        <v>451.05500000000001</v>
      </c>
    </row>
    <row r="202" spans="21:23">
      <c r="U202" s="144">
        <v>28051.489767999999</v>
      </c>
      <c r="V202" s="144">
        <v>-2118.0100000000002</v>
      </c>
      <c r="W202" s="143">
        <v>434.27499999999998</v>
      </c>
    </row>
    <row r="203" spans="21:23">
      <c r="U203" s="144">
        <v>30055.189708000002</v>
      </c>
      <c r="V203" s="144">
        <v>-2118.0100000000002</v>
      </c>
      <c r="W203" s="143">
        <v>381.04500000000002</v>
      </c>
    </row>
    <row r="204" spans="21:23">
      <c r="U204" s="144">
        <v>32058.889648</v>
      </c>
      <c r="V204" s="144">
        <v>-2118.0100000000002</v>
      </c>
      <c r="W204" s="143">
        <v>227.7</v>
      </c>
    </row>
    <row r="205" spans="21:23">
      <c r="U205" s="144">
        <v>34062.512239999996</v>
      </c>
      <c r="V205" s="144">
        <v>-2118.0100000000002</v>
      </c>
      <c r="W205" s="143">
        <v>79.025000000000006</v>
      </c>
    </row>
    <row r="206" spans="21:23">
      <c r="U206" s="144">
        <v>36066.212180000002</v>
      </c>
      <c r="V206" s="144">
        <v>-2118.0100000000002</v>
      </c>
      <c r="W206" s="143">
        <v>28.39</v>
      </c>
    </row>
    <row r="207" spans="21:23">
      <c r="U207" s="144">
        <v>38069.912120000001</v>
      </c>
      <c r="V207" s="144">
        <v>-2118.0100000000002</v>
      </c>
      <c r="W207" s="143">
        <v>10.34</v>
      </c>
    </row>
    <row r="208" spans="21:23">
      <c r="U208" s="144">
        <v>40073.534712000001</v>
      </c>
      <c r="V208" s="144">
        <v>-2118.0100000000002</v>
      </c>
      <c r="W208" s="143">
        <v>1.73</v>
      </c>
    </row>
    <row r="209" spans="21:23">
      <c r="U209" s="144">
        <v>42077.234651999999</v>
      </c>
      <c r="V209" s="144">
        <v>-2118.0100000000002</v>
      </c>
      <c r="W209" s="143">
        <v>4.9649999999999999</v>
      </c>
    </row>
    <row r="210" spans="21:23">
      <c r="U210" s="144">
        <v>44080.934591999998</v>
      </c>
      <c r="V210" s="144">
        <v>-2118.0100000000002</v>
      </c>
      <c r="W210" s="143">
        <v>9.3049999999999997</v>
      </c>
    </row>
    <row r="211" spans="21:23">
      <c r="U211" s="144">
        <v>46084.634531999996</v>
      </c>
      <c r="V211" s="144">
        <v>-2118.0100000000002</v>
      </c>
      <c r="W211" s="143">
        <v>9.1950000000000003</v>
      </c>
    </row>
    <row r="212" spans="21:23">
      <c r="U212" s="144">
        <v>48088.257124000003</v>
      </c>
      <c r="V212" s="144">
        <v>-2118.0100000000002</v>
      </c>
      <c r="W212" s="143">
        <v>13.42</v>
      </c>
    </row>
    <row r="213" spans="21:23">
      <c r="U213" s="144">
        <v>50091.957064000002</v>
      </c>
      <c r="V213" s="144">
        <v>-2118.0100000000002</v>
      </c>
      <c r="W213" s="143">
        <v>9.5449999999999999</v>
      </c>
    </row>
    <row r="214" spans="21:23">
      <c r="U214" s="144">
        <v>52095.657004000001</v>
      </c>
      <c r="V214" s="144">
        <v>-2118.0100000000002</v>
      </c>
      <c r="W214" s="143">
        <v>7.7350000000000003</v>
      </c>
    </row>
    <row r="215" spans="21:23">
      <c r="U215" s="144">
        <v>54099.279596</v>
      </c>
      <c r="V215" s="144">
        <v>-2118.0100000000002</v>
      </c>
      <c r="W215" s="143">
        <v>0.63</v>
      </c>
    </row>
    <row r="216" spans="21:23">
      <c r="U216" s="144">
        <v>56102.979535999999</v>
      </c>
      <c r="V216" s="144">
        <v>-2118.0100000000002</v>
      </c>
      <c r="W216" s="143">
        <v>0.75</v>
      </c>
    </row>
    <row r="217" spans="21:23">
      <c r="U217" s="144">
        <v>58106.679475999998</v>
      </c>
      <c r="V217" s="144">
        <v>-2118.0100000000002</v>
      </c>
      <c r="W217" s="143">
        <v>0.35</v>
      </c>
    </row>
    <row r="218" spans="21:23">
      <c r="U218" s="144">
        <v>66121.401887999993</v>
      </c>
      <c r="V218" s="144">
        <v>-2118.0100000000002</v>
      </c>
      <c r="W218" s="143">
        <v>0.91</v>
      </c>
    </row>
    <row r="219" spans="21:23">
      <c r="U219" s="144">
        <v>76139.746891999996</v>
      </c>
      <c r="V219" s="144">
        <v>-2118.0100000000002</v>
      </c>
      <c r="W219" s="143">
        <v>0.81499999999999995</v>
      </c>
    </row>
    <row r="220" spans="21:23">
      <c r="U220" s="144">
        <v>78143.137440000006</v>
      </c>
      <c r="V220" s="144">
        <v>-2118.0100000000002</v>
      </c>
      <c r="W220" s="143">
        <v>0.90500000000000003</v>
      </c>
    </row>
    <row r="221" spans="21:23">
      <c r="U221" s="144">
        <v>82150.537320000003</v>
      </c>
      <c r="V221" s="144">
        <v>-2118.0100000000002</v>
      </c>
      <c r="W221" s="143">
        <v>3.14</v>
      </c>
    </row>
    <row r="222" spans="21:23">
      <c r="U222" s="144">
        <v>84154.623999999996</v>
      </c>
      <c r="V222" s="144">
        <v>-2118.0100000000002</v>
      </c>
      <c r="W222" s="143">
        <v>0.90500000000000003</v>
      </c>
    </row>
    <row r="223" spans="21:23">
      <c r="U223" s="144">
        <v>86157.9372</v>
      </c>
      <c r="V223" s="144">
        <v>-2118.0100000000002</v>
      </c>
      <c r="W223" s="143">
        <v>0.995</v>
      </c>
    </row>
    <row r="224" spans="21:23">
      <c r="U224" s="144">
        <v>90165.337079999998</v>
      </c>
      <c r="V224" s="144">
        <v>-2118.0100000000002</v>
      </c>
      <c r="W224" s="143">
        <v>0.90500000000000003</v>
      </c>
    </row>
    <row r="225" spans="21:23">
      <c r="U225" s="144">
        <v>98180.136840000006</v>
      </c>
      <c r="V225" s="144">
        <v>-2118.0100000000002</v>
      </c>
      <c r="W225" s="143">
        <v>3.0649999999999999</v>
      </c>
    </row>
    <row r="226" spans="21:23">
      <c r="U226" s="144">
        <v>100184.22352</v>
      </c>
      <c r="V226" s="144">
        <v>-2118.0100000000002</v>
      </c>
      <c r="W226" s="143">
        <v>1.81</v>
      </c>
    </row>
    <row r="227" spans="21:23">
      <c r="U227" s="144">
        <v>5.5881996300000004E-3</v>
      </c>
      <c r="V227" s="144">
        <v>1202.9100000000001</v>
      </c>
      <c r="W227" s="143">
        <v>21225800</v>
      </c>
    </row>
    <row r="228" spans="21:23">
      <c r="U228" s="144">
        <v>2003.6844703999998</v>
      </c>
      <c r="V228" s="144">
        <v>1202.9100000000001</v>
      </c>
      <c r="W228" s="143">
        <v>4109320</v>
      </c>
    </row>
    <row r="229" spans="21:23">
      <c r="U229" s="144">
        <v>4007.361206</v>
      </c>
      <c r="V229" s="144">
        <v>1202.9100000000001</v>
      </c>
      <c r="W229" s="143">
        <v>605019</v>
      </c>
    </row>
    <row r="230" spans="21:23">
      <c r="U230" s="144">
        <v>6011.0379415999996</v>
      </c>
      <c r="V230" s="144">
        <v>1202.9100000000001</v>
      </c>
      <c r="W230" s="143">
        <v>120730</v>
      </c>
    </row>
    <row r="231" spans="21:23">
      <c r="U231" s="144">
        <v>8014.7224120000001</v>
      </c>
      <c r="V231" s="144">
        <v>1202.9100000000001</v>
      </c>
      <c r="W231" s="143">
        <v>21431.3</v>
      </c>
    </row>
    <row r="232" spans="21:23">
      <c r="U232" s="144">
        <v>10018.422352</v>
      </c>
      <c r="V232" s="144">
        <v>1202.9100000000001</v>
      </c>
      <c r="W232" s="143">
        <v>6051.84</v>
      </c>
    </row>
    <row r="233" spans="21:23">
      <c r="U233" s="144">
        <v>12022.044943999999</v>
      </c>
      <c r="V233" s="144">
        <v>1202.9100000000001</v>
      </c>
      <c r="W233" s="143">
        <v>5502.37</v>
      </c>
    </row>
    <row r="234" spans="21:23">
      <c r="U234" s="144">
        <v>14025.744884</v>
      </c>
      <c r="V234" s="144">
        <v>1202.9100000000001</v>
      </c>
      <c r="W234" s="143">
        <v>2696.4</v>
      </c>
    </row>
    <row r="235" spans="21:23">
      <c r="U235" s="144">
        <v>16029.444824</v>
      </c>
      <c r="V235" s="144">
        <v>1202.9100000000001</v>
      </c>
      <c r="W235" s="143">
        <v>1797.13</v>
      </c>
    </row>
    <row r="236" spans="21:23">
      <c r="U236" s="144">
        <v>18033.144764000001</v>
      </c>
      <c r="V236" s="144">
        <v>1202.9100000000001</v>
      </c>
      <c r="W236" s="143">
        <v>99.91</v>
      </c>
    </row>
    <row r="237" spans="21:23">
      <c r="U237" s="144">
        <v>20036.767356</v>
      </c>
      <c r="V237" s="144">
        <v>1202.9100000000001</v>
      </c>
      <c r="W237" s="143">
        <v>12.95</v>
      </c>
    </row>
    <row r="238" spans="21:23">
      <c r="U238" s="144">
        <v>22040.467295999999</v>
      </c>
      <c r="V238" s="144">
        <v>1202.9100000000001</v>
      </c>
      <c r="W238" s="143">
        <v>4.6100000000000003</v>
      </c>
    </row>
    <row r="239" spans="21:23">
      <c r="U239" s="144">
        <v>24044.167236000001</v>
      </c>
      <c r="V239" s="144">
        <v>1202.9100000000001</v>
      </c>
      <c r="W239" s="143">
        <v>9.7750000000000004</v>
      </c>
    </row>
    <row r="240" spans="21:23">
      <c r="U240" s="144">
        <v>26047.789828000001</v>
      </c>
      <c r="V240" s="144">
        <v>1202.9100000000001</v>
      </c>
      <c r="W240" s="143">
        <v>4.7850000000000001</v>
      </c>
    </row>
    <row r="241" spans="21:23">
      <c r="U241" s="144">
        <v>28051.489767999999</v>
      </c>
      <c r="V241" s="144">
        <v>1202.9100000000001</v>
      </c>
      <c r="W241" s="143">
        <v>8.2200000000000006</v>
      </c>
    </row>
    <row r="242" spans="21:23">
      <c r="U242" s="144">
        <v>30055.189708000002</v>
      </c>
      <c r="V242" s="144">
        <v>1202.9100000000001</v>
      </c>
      <c r="W242" s="143">
        <v>0.22</v>
      </c>
    </row>
    <row r="243" spans="21:23">
      <c r="U243" s="144">
        <v>32058.889648</v>
      </c>
      <c r="V243" s="144">
        <v>1202.9100000000001</v>
      </c>
      <c r="W243" s="143">
        <v>0.16500000000000001</v>
      </c>
    </row>
    <row r="244" spans="21:23">
      <c r="U244" s="144">
        <v>34062.512239999996</v>
      </c>
      <c r="V244" s="144">
        <v>1202.9100000000001</v>
      </c>
      <c r="W244" s="143">
        <v>5.5E-2</v>
      </c>
    </row>
    <row r="245" spans="21:23">
      <c r="U245" s="144">
        <v>36066.212180000002</v>
      </c>
      <c r="V245" s="144">
        <v>1202.9100000000001</v>
      </c>
      <c r="W245" s="143">
        <v>0.16</v>
      </c>
    </row>
    <row r="246" spans="21:23">
      <c r="U246" s="144">
        <v>38069.912120000001</v>
      </c>
      <c r="V246" s="144">
        <v>1202.9100000000001</v>
      </c>
      <c r="W246" s="143">
        <v>5.5E-2</v>
      </c>
    </row>
    <row r="247" spans="21:23">
      <c r="U247" s="144">
        <v>40073.534712000001</v>
      </c>
      <c r="V247" s="144">
        <v>1202.9100000000001</v>
      </c>
      <c r="W247" s="143">
        <v>12.73</v>
      </c>
    </row>
    <row r="248" spans="21:23">
      <c r="U248" s="144">
        <v>42077.234651999999</v>
      </c>
      <c r="V248" s="144">
        <v>1202.9100000000001</v>
      </c>
      <c r="W248" s="143">
        <v>0.04</v>
      </c>
    </row>
    <row r="249" spans="21:23">
      <c r="U249" s="144">
        <v>46084.634531999996</v>
      </c>
      <c r="V249" s="144">
        <v>1202.9100000000001</v>
      </c>
      <c r="W249" s="143">
        <v>9.5000000000000001E-2</v>
      </c>
    </row>
    <row r="250" spans="21:23">
      <c r="U250" s="144">
        <v>48088.257124000003</v>
      </c>
      <c r="V250" s="144">
        <v>1202.9100000000001</v>
      </c>
      <c r="W250" s="143">
        <v>0.47</v>
      </c>
    </row>
    <row r="251" spans="21:23">
      <c r="U251" s="144">
        <v>50091.957064000002</v>
      </c>
      <c r="V251" s="144">
        <v>1202.9100000000001</v>
      </c>
      <c r="W251" s="143">
        <v>0.125</v>
      </c>
    </row>
    <row r="252" spans="21:23">
      <c r="U252" s="144">
        <v>52095.657004000001</v>
      </c>
      <c r="V252" s="144">
        <v>1202.9100000000001</v>
      </c>
      <c r="W252" s="143">
        <v>0.60499999999999998</v>
      </c>
    </row>
    <row r="253" spans="21:23">
      <c r="U253" s="144">
        <v>54099.279596</v>
      </c>
      <c r="V253" s="144">
        <v>1202.9100000000001</v>
      </c>
      <c r="W253" s="143">
        <v>0.34499999999999997</v>
      </c>
    </row>
    <row r="254" spans="21:23">
      <c r="U254" s="144">
        <v>56102.979535999999</v>
      </c>
      <c r="V254" s="144">
        <v>1202.9100000000001</v>
      </c>
      <c r="W254" s="143">
        <v>0.41</v>
      </c>
    </row>
    <row r="255" spans="21:23">
      <c r="U255" s="144">
        <v>58106.679475999998</v>
      </c>
      <c r="V255" s="144">
        <v>1202.9100000000001</v>
      </c>
      <c r="W255" s="143">
        <v>2</v>
      </c>
    </row>
    <row r="256" spans="21:23">
      <c r="U256" s="144">
        <v>60110.379416000003</v>
      </c>
      <c r="V256" s="144">
        <v>1202.9100000000001</v>
      </c>
      <c r="W256" s="143">
        <v>2.23</v>
      </c>
    </row>
    <row r="257" spans="21:23">
      <c r="U257" s="144">
        <v>62114.002008000003</v>
      </c>
      <c r="V257" s="144">
        <v>1202.9100000000001</v>
      </c>
      <c r="W257" s="143">
        <v>0.315</v>
      </c>
    </row>
    <row r="258" spans="21:23">
      <c r="U258" s="144">
        <v>64117.701948000002</v>
      </c>
      <c r="V258" s="144">
        <v>1202.9100000000001</v>
      </c>
      <c r="W258" s="143">
        <v>0.35499999999999998</v>
      </c>
    </row>
    <row r="259" spans="21:23">
      <c r="U259" s="144">
        <v>66121.401887999993</v>
      </c>
      <c r="V259" s="144">
        <v>1202.9100000000001</v>
      </c>
      <c r="W259" s="143">
        <v>1.2150000000000001</v>
      </c>
    </row>
    <row r="260" spans="21:23">
      <c r="U260" s="144">
        <v>68125.024479999993</v>
      </c>
      <c r="V260" s="144">
        <v>1202.9100000000001</v>
      </c>
      <c r="W260" s="143">
        <v>0.315</v>
      </c>
    </row>
    <row r="261" spans="21:23">
      <c r="U261" s="144">
        <v>70128.724419999999</v>
      </c>
      <c r="V261" s="144">
        <v>1202.9100000000001</v>
      </c>
      <c r="W261" s="143">
        <v>0.61</v>
      </c>
    </row>
    <row r="262" spans="21:23">
      <c r="U262" s="144">
        <v>72132.424360000005</v>
      </c>
      <c r="V262" s="144">
        <v>1202.9100000000001</v>
      </c>
      <c r="W262" s="143">
        <v>6.8449999999999998</v>
      </c>
    </row>
    <row r="263" spans="21:23">
      <c r="U263" s="144">
        <v>74136.124299999996</v>
      </c>
      <c r="V263" s="144">
        <v>1202.9100000000001</v>
      </c>
      <c r="W263" s="143">
        <v>1.62</v>
      </c>
    </row>
    <row r="264" spans="21:23">
      <c r="U264" s="144">
        <v>76139.746891999996</v>
      </c>
      <c r="V264" s="144">
        <v>1202.9100000000001</v>
      </c>
      <c r="W264" s="143">
        <v>2.2200000000000002</v>
      </c>
    </row>
    <row r="265" spans="21:23">
      <c r="U265" s="144">
        <v>78143.137440000006</v>
      </c>
      <c r="V265" s="144">
        <v>1202.9100000000001</v>
      </c>
      <c r="W265" s="143">
        <v>1.825</v>
      </c>
    </row>
    <row r="266" spans="21:23">
      <c r="U266" s="144">
        <v>82150.537320000003</v>
      </c>
      <c r="V266" s="144">
        <v>1202.9100000000001</v>
      </c>
      <c r="W266" s="143">
        <v>9.3699999999999992</v>
      </c>
    </row>
    <row r="267" spans="21:23">
      <c r="U267" s="144">
        <v>84154.623999999996</v>
      </c>
      <c r="V267" s="144">
        <v>1202.9100000000001</v>
      </c>
      <c r="W267" s="143">
        <v>4.8150000000000004</v>
      </c>
    </row>
    <row r="268" spans="21:23">
      <c r="U268" s="144">
        <v>86157.9372</v>
      </c>
      <c r="V268" s="144">
        <v>1202.9100000000001</v>
      </c>
      <c r="W268" s="143">
        <v>2.335</v>
      </c>
    </row>
    <row r="269" spans="21:23">
      <c r="U269" s="144">
        <v>90165.337079999998</v>
      </c>
      <c r="V269" s="144">
        <v>1202.9100000000001</v>
      </c>
      <c r="W269" s="143">
        <v>3.27</v>
      </c>
    </row>
    <row r="270" spans="21:23">
      <c r="U270" s="144">
        <v>92169.423760000005</v>
      </c>
      <c r="V270" s="144">
        <v>1202.9100000000001</v>
      </c>
      <c r="W270" s="143">
        <v>1.0049999999999999</v>
      </c>
    </row>
    <row r="271" spans="21:23">
      <c r="U271" s="144">
        <v>5.5881996300000004E-3</v>
      </c>
      <c r="V271" s="144">
        <v>4523.82</v>
      </c>
      <c r="W271" s="143">
        <v>64450700</v>
      </c>
    </row>
    <row r="272" spans="21:23">
      <c r="U272" s="144">
        <v>2003.6844703999998</v>
      </c>
      <c r="V272" s="144">
        <v>4523.82</v>
      </c>
      <c r="W272" s="143">
        <v>10492300</v>
      </c>
    </row>
    <row r="273" spans="21:23">
      <c r="U273" s="144">
        <v>4007.361206</v>
      </c>
      <c r="V273" s="144">
        <v>4523.82</v>
      </c>
      <c r="W273" s="143">
        <v>1441330</v>
      </c>
    </row>
    <row r="274" spans="21:23">
      <c r="U274" s="144">
        <v>6011.0379415999996</v>
      </c>
      <c r="V274" s="144">
        <v>4523.82</v>
      </c>
      <c r="W274" s="143">
        <v>401173</v>
      </c>
    </row>
    <row r="275" spans="21:23">
      <c r="U275" s="144">
        <v>8014.7224120000001</v>
      </c>
      <c r="V275" s="144">
        <v>4523.82</v>
      </c>
      <c r="W275" s="143">
        <v>83679.899999999994</v>
      </c>
    </row>
    <row r="276" spans="21:23">
      <c r="U276" s="144">
        <v>10018.422352</v>
      </c>
      <c r="V276" s="144">
        <v>4523.82</v>
      </c>
      <c r="W276" s="143">
        <v>14974.6</v>
      </c>
    </row>
    <row r="277" spans="21:23">
      <c r="U277" s="144">
        <v>12022.044943999999</v>
      </c>
      <c r="V277" s="144">
        <v>4523.82</v>
      </c>
      <c r="W277" s="143">
        <v>19779.599999999999</v>
      </c>
    </row>
    <row r="278" spans="21:23">
      <c r="U278" s="144">
        <v>14025.744884</v>
      </c>
      <c r="V278" s="144">
        <v>4523.82</v>
      </c>
      <c r="W278" s="143">
        <v>7374.54</v>
      </c>
    </row>
    <row r="279" spans="21:23">
      <c r="U279" s="144">
        <v>16029.444824</v>
      </c>
      <c r="V279" s="144">
        <v>4523.82</v>
      </c>
      <c r="W279" s="143">
        <v>28.55</v>
      </c>
    </row>
    <row r="280" spans="21:23">
      <c r="U280" s="144">
        <v>18033.144764000001</v>
      </c>
      <c r="V280" s="144">
        <v>4523.82</v>
      </c>
      <c r="W280" s="143">
        <v>281.76499999999999</v>
      </c>
    </row>
    <row r="281" spans="21:23">
      <c r="U281" s="144">
        <v>22040.467295999999</v>
      </c>
      <c r="V281" s="144">
        <v>4523.82</v>
      </c>
      <c r="W281" s="143">
        <v>12.5</v>
      </c>
    </row>
    <row r="282" spans="21:23">
      <c r="U282" s="144">
        <v>24044.167236000001</v>
      </c>
      <c r="V282" s="144">
        <v>4523.82</v>
      </c>
      <c r="W282" s="143">
        <v>1.4999999999999999E-2</v>
      </c>
    </row>
    <row r="283" spans="21:23">
      <c r="U283" s="144">
        <v>28051.489767999999</v>
      </c>
      <c r="V283" s="144">
        <v>4523.82</v>
      </c>
      <c r="W283" s="143">
        <v>1.99</v>
      </c>
    </row>
    <row r="284" spans="21:23">
      <c r="U284" s="144">
        <v>30055.189708000002</v>
      </c>
      <c r="V284" s="144">
        <v>4523.82</v>
      </c>
      <c r="W284" s="143">
        <v>3.9</v>
      </c>
    </row>
    <row r="285" spans="21:23">
      <c r="U285" s="144">
        <v>32058.889648</v>
      </c>
      <c r="V285" s="144">
        <v>4523.82</v>
      </c>
      <c r="W285" s="143">
        <v>7.86</v>
      </c>
    </row>
    <row r="286" spans="21:23">
      <c r="U286" s="144">
        <v>34062.512239999996</v>
      </c>
      <c r="V286" s="144">
        <v>4523.82</v>
      </c>
      <c r="W286" s="143">
        <v>3.96</v>
      </c>
    </row>
    <row r="287" spans="21:23">
      <c r="U287" s="144">
        <v>36066.212180000002</v>
      </c>
      <c r="V287" s="144">
        <v>4523.82</v>
      </c>
      <c r="W287" s="143">
        <v>5.95</v>
      </c>
    </row>
    <row r="288" spans="21:23">
      <c r="U288" s="144">
        <v>38069.912120000001</v>
      </c>
      <c r="V288" s="144">
        <v>4523.82</v>
      </c>
      <c r="W288" s="143">
        <v>6.01</v>
      </c>
    </row>
    <row r="289" spans="21:23">
      <c r="U289" s="144">
        <v>40073.534712000001</v>
      </c>
      <c r="V289" s="144">
        <v>4523.82</v>
      </c>
      <c r="W289" s="143">
        <v>0.64500000000000002</v>
      </c>
    </row>
    <row r="290" spans="21:23">
      <c r="U290" s="144">
        <v>42077.234651999999</v>
      </c>
      <c r="V290" s="144">
        <v>4523.82</v>
      </c>
      <c r="W290" s="143">
        <v>0.17499999999999999</v>
      </c>
    </row>
    <row r="291" spans="21:23">
      <c r="U291" s="144">
        <v>44080.934591999998</v>
      </c>
      <c r="V291" s="144">
        <v>4523.82</v>
      </c>
      <c r="W291" s="143">
        <v>2.94</v>
      </c>
    </row>
    <row r="292" spans="21:23">
      <c r="U292" s="144">
        <v>46084.634531999996</v>
      </c>
      <c r="V292" s="144">
        <v>4523.82</v>
      </c>
      <c r="W292" s="143">
        <v>2.7650000000000001</v>
      </c>
    </row>
    <row r="293" spans="21:23">
      <c r="U293" s="144">
        <v>48088.257124000003</v>
      </c>
      <c r="V293" s="144">
        <v>4523.82</v>
      </c>
      <c r="W293" s="143">
        <v>0.40500000000000003</v>
      </c>
    </row>
    <row r="294" spans="21:23">
      <c r="U294" s="144">
        <v>50091.957064000002</v>
      </c>
      <c r="V294" s="144">
        <v>4523.82</v>
      </c>
      <c r="W294" s="143">
        <v>3.51</v>
      </c>
    </row>
    <row r="295" spans="21:23">
      <c r="U295" s="144">
        <v>52095.657004000001</v>
      </c>
      <c r="V295" s="144">
        <v>4523.82</v>
      </c>
      <c r="W295" s="143">
        <v>3.375</v>
      </c>
    </row>
    <row r="296" spans="21:23">
      <c r="U296" s="144">
        <v>54099.279596</v>
      </c>
      <c r="V296" s="144">
        <v>4523.82</v>
      </c>
      <c r="W296" s="143">
        <v>3.1549999999999998</v>
      </c>
    </row>
    <row r="297" spans="21:23">
      <c r="U297" s="144">
        <v>56102.979535999999</v>
      </c>
      <c r="V297" s="144">
        <v>4523.82</v>
      </c>
      <c r="W297" s="143">
        <v>2.6</v>
      </c>
    </row>
    <row r="298" spans="21:23">
      <c r="U298" s="144">
        <v>58106.679475999998</v>
      </c>
      <c r="V298" s="144">
        <v>4523.82</v>
      </c>
      <c r="W298" s="143">
        <v>3.125</v>
      </c>
    </row>
    <row r="299" spans="21:23">
      <c r="U299" s="144">
        <v>60110.379416000003</v>
      </c>
      <c r="V299" s="144">
        <v>4523.82</v>
      </c>
      <c r="W299" s="143">
        <v>3.9249999999999998</v>
      </c>
    </row>
    <row r="300" spans="21:23">
      <c r="U300" s="144">
        <v>62114.002008000003</v>
      </c>
      <c r="V300" s="144">
        <v>4523.82</v>
      </c>
      <c r="W300" s="143">
        <v>2.34</v>
      </c>
    </row>
    <row r="301" spans="21:23">
      <c r="U301" s="144">
        <v>64117.701948000002</v>
      </c>
      <c r="V301" s="144">
        <v>4523.82</v>
      </c>
      <c r="W301" s="143">
        <v>0.79500000000000004</v>
      </c>
    </row>
    <row r="302" spans="21:23">
      <c r="U302" s="144">
        <v>66121.401887999993</v>
      </c>
      <c r="V302" s="144">
        <v>4523.82</v>
      </c>
      <c r="W302" s="143">
        <v>2.15</v>
      </c>
    </row>
    <row r="303" spans="21:23">
      <c r="U303" s="144">
        <v>68125.024479999993</v>
      </c>
      <c r="V303" s="144">
        <v>4523.82</v>
      </c>
      <c r="W303" s="143">
        <v>0.88500000000000001</v>
      </c>
    </row>
    <row r="304" spans="21:23">
      <c r="U304" s="144">
        <v>70128.724419999999</v>
      </c>
      <c r="V304" s="144">
        <v>4523.82</v>
      </c>
      <c r="W304" s="143">
        <v>2.2250000000000001</v>
      </c>
    </row>
    <row r="305" spans="21:23">
      <c r="U305" s="144">
        <v>72132.424360000005</v>
      </c>
      <c r="V305" s="144">
        <v>4523.82</v>
      </c>
      <c r="W305" s="143">
        <v>1.1200000000000001</v>
      </c>
    </row>
    <row r="306" spans="21:23">
      <c r="U306" s="144">
        <v>74136.124299999996</v>
      </c>
      <c r="V306" s="144">
        <v>4523.82</v>
      </c>
      <c r="W306" s="143">
        <v>2.0449999999999999</v>
      </c>
    </row>
    <row r="307" spans="21:23">
      <c r="U307" s="144">
        <v>76139.746891999996</v>
      </c>
      <c r="V307" s="144">
        <v>4523.82</v>
      </c>
      <c r="W307" s="143">
        <v>2.14</v>
      </c>
    </row>
    <row r="308" spans="21:23">
      <c r="U308" s="144">
        <v>78143.137440000006</v>
      </c>
      <c r="V308" s="144">
        <v>4523.82</v>
      </c>
      <c r="W308" s="143">
        <v>26.195</v>
      </c>
    </row>
    <row r="309" spans="21:23">
      <c r="U309" s="144">
        <v>80147.224119999999</v>
      </c>
      <c r="V309" s="144">
        <v>4523.82</v>
      </c>
      <c r="W309" s="143">
        <v>4.7850000000000001</v>
      </c>
    </row>
    <row r="310" spans="21:23">
      <c r="U310" s="144">
        <v>82150.537320000003</v>
      </c>
      <c r="V310" s="144">
        <v>4523.82</v>
      </c>
      <c r="W310" s="143">
        <v>3.3</v>
      </c>
    </row>
    <row r="311" spans="21:23">
      <c r="U311" s="144">
        <v>84154.623999999996</v>
      </c>
      <c r="V311" s="144">
        <v>4523.82</v>
      </c>
      <c r="W311" s="143">
        <v>5.5350000000000001</v>
      </c>
    </row>
    <row r="312" spans="21:23">
      <c r="U312" s="144">
        <v>86157.9372</v>
      </c>
      <c r="V312" s="144">
        <v>4523.82</v>
      </c>
      <c r="W312" s="143">
        <v>1.72</v>
      </c>
    </row>
    <row r="313" spans="21:23">
      <c r="U313" s="144">
        <v>5.5881996300000004E-3</v>
      </c>
      <c r="V313" s="144">
        <v>7844.74</v>
      </c>
      <c r="W313" s="143">
        <v>41649900</v>
      </c>
    </row>
    <row r="314" spans="21:23">
      <c r="U314" s="144">
        <v>2003.6844703999998</v>
      </c>
      <c r="V314" s="144">
        <v>7844.74</v>
      </c>
      <c r="W314" s="143">
        <v>10286900</v>
      </c>
    </row>
    <row r="315" spans="21:23">
      <c r="U315" s="144">
        <v>4007.361206</v>
      </c>
      <c r="V315" s="144">
        <v>7844.74</v>
      </c>
      <c r="W315" s="143">
        <v>485374</v>
      </c>
    </row>
    <row r="316" spans="21:23">
      <c r="U316" s="144">
        <v>6011.0379415999996</v>
      </c>
      <c r="V316" s="144">
        <v>7844.74</v>
      </c>
      <c r="W316" s="143">
        <v>66827.3</v>
      </c>
    </row>
    <row r="317" spans="21:23">
      <c r="U317" s="144">
        <v>8014.7224120000001</v>
      </c>
      <c r="V317" s="144">
        <v>7844.74</v>
      </c>
      <c r="W317" s="143">
        <v>39111.1</v>
      </c>
    </row>
    <row r="318" spans="21:23">
      <c r="U318" s="144">
        <v>10018.422352</v>
      </c>
      <c r="V318" s="144">
        <v>7844.74</v>
      </c>
      <c r="W318" s="143">
        <v>14857.6</v>
      </c>
    </row>
    <row r="319" spans="21:23">
      <c r="U319" s="144">
        <v>12022.044943999999</v>
      </c>
      <c r="V319" s="144">
        <v>7844.74</v>
      </c>
      <c r="W319" s="143">
        <v>13.28</v>
      </c>
    </row>
    <row r="320" spans="21:23">
      <c r="U320" s="144">
        <v>14025.744884</v>
      </c>
      <c r="V320" s="144">
        <v>7844.74</v>
      </c>
      <c r="W320" s="143">
        <v>3.9</v>
      </c>
    </row>
    <row r="321" spans="21:23">
      <c r="U321" s="144">
        <v>16029.444824</v>
      </c>
      <c r="V321" s="144">
        <v>7844.74</v>
      </c>
      <c r="W321" s="143">
        <v>7986.16</v>
      </c>
    </row>
    <row r="322" spans="21:23">
      <c r="U322" s="144">
        <v>18033.144764000001</v>
      </c>
      <c r="V322" s="144">
        <v>7844.74</v>
      </c>
      <c r="W322" s="143">
        <v>300</v>
      </c>
    </row>
    <row r="323" spans="21:23">
      <c r="U323" s="144">
        <v>20036.767356</v>
      </c>
      <c r="V323" s="144">
        <v>7844.74</v>
      </c>
      <c r="W323" s="143">
        <v>0.02</v>
      </c>
    </row>
    <row r="324" spans="21:23">
      <c r="U324" s="144">
        <v>30055.189708000002</v>
      </c>
      <c r="V324" s="144">
        <v>7844.74</v>
      </c>
      <c r="W324" s="143">
        <v>3.5000000000000003E-2</v>
      </c>
    </row>
    <row r="325" spans="21:23">
      <c r="U325" s="144">
        <v>32058.889648</v>
      </c>
      <c r="V325" s="144">
        <v>7844.74</v>
      </c>
      <c r="W325" s="143">
        <v>7.0000000000000007E-2</v>
      </c>
    </row>
    <row r="326" spans="21:23">
      <c r="U326" s="144">
        <v>34062.512239999996</v>
      </c>
      <c r="V326" s="144">
        <v>7844.74</v>
      </c>
      <c r="W326" s="143">
        <v>1.4999999999999999E-2</v>
      </c>
    </row>
    <row r="327" spans="21:23">
      <c r="U327" s="144">
        <v>36066.212180000002</v>
      </c>
      <c r="V327" s="144">
        <v>7844.74</v>
      </c>
      <c r="W327" s="143">
        <v>0.13</v>
      </c>
    </row>
    <row r="328" spans="21:23">
      <c r="U328" s="144">
        <v>38069.912120000001</v>
      </c>
      <c r="V328" s="144">
        <v>7844.74</v>
      </c>
      <c r="W328" s="143">
        <v>6.5000000000000002E-2</v>
      </c>
    </row>
    <row r="329" spans="21:23">
      <c r="U329" s="144">
        <v>40073.534712000001</v>
      </c>
      <c r="V329" s="144">
        <v>7844.74</v>
      </c>
      <c r="W329" s="143">
        <v>2.15</v>
      </c>
    </row>
    <row r="330" spans="21:23">
      <c r="U330" s="144">
        <v>42077.234651999999</v>
      </c>
      <c r="V330" s="144">
        <v>7844.74</v>
      </c>
      <c r="W330" s="143">
        <v>2.04</v>
      </c>
    </row>
    <row r="331" spans="21:23">
      <c r="U331" s="144">
        <v>44080.934591999998</v>
      </c>
      <c r="V331" s="144">
        <v>7844.74</v>
      </c>
      <c r="W331" s="143">
        <v>0.105</v>
      </c>
    </row>
    <row r="332" spans="21:23">
      <c r="U332" s="144">
        <v>46084.634531999996</v>
      </c>
      <c r="V332" s="144">
        <v>7844.74</v>
      </c>
      <c r="W332" s="143">
        <v>0.44500000000000001</v>
      </c>
    </row>
    <row r="333" spans="21:23">
      <c r="U333" s="144">
        <v>48088.257124000003</v>
      </c>
      <c r="V333" s="144">
        <v>7844.74</v>
      </c>
      <c r="W333" s="143">
        <v>2.27</v>
      </c>
    </row>
    <row r="334" spans="21:23">
      <c r="U334" s="144">
        <v>50091.957064000002</v>
      </c>
      <c r="V334" s="144">
        <v>7844.74</v>
      </c>
      <c r="W334" s="143">
        <v>6.0149999999999997</v>
      </c>
    </row>
    <row r="335" spans="21:23">
      <c r="U335" s="144">
        <v>52095.657004000001</v>
      </c>
      <c r="V335" s="144">
        <v>7844.74</v>
      </c>
      <c r="W335" s="143">
        <v>2.44</v>
      </c>
    </row>
    <row r="336" spans="21:23">
      <c r="U336" s="144">
        <v>54099.279596</v>
      </c>
      <c r="V336" s="144">
        <v>7844.74</v>
      </c>
      <c r="W336" s="143">
        <v>4.2549999999999999</v>
      </c>
    </row>
    <row r="337" spans="21:23">
      <c r="U337" s="144">
        <v>56102.979535999999</v>
      </c>
      <c r="V337" s="144">
        <v>7844.74</v>
      </c>
      <c r="W337" s="143">
        <v>8.23</v>
      </c>
    </row>
    <row r="338" spans="21:23">
      <c r="U338" s="144">
        <v>58106.679475999998</v>
      </c>
      <c r="V338" s="144">
        <v>7844.74</v>
      </c>
      <c r="W338" s="143">
        <v>5.4349999999999996</v>
      </c>
    </row>
    <row r="339" spans="21:23">
      <c r="U339" s="144">
        <v>60110.379416000003</v>
      </c>
      <c r="V339" s="144">
        <v>7844.74</v>
      </c>
      <c r="W339" s="143">
        <v>6.91</v>
      </c>
    </row>
    <row r="340" spans="21:23">
      <c r="U340" s="144">
        <v>62114.002008000003</v>
      </c>
      <c r="V340" s="144">
        <v>7844.74</v>
      </c>
      <c r="W340" s="143">
        <v>5.83</v>
      </c>
    </row>
    <row r="341" spans="21:23">
      <c r="U341" s="144">
        <v>64117.701948000002</v>
      </c>
      <c r="V341" s="144">
        <v>7844.74</v>
      </c>
      <c r="W341" s="143">
        <v>2.8450000000000002</v>
      </c>
    </row>
    <row r="342" spans="21:23">
      <c r="U342" s="144">
        <v>66121.401887999993</v>
      </c>
      <c r="V342" s="144">
        <v>7844.74</v>
      </c>
      <c r="W342" s="143">
        <v>3.34</v>
      </c>
    </row>
    <row r="343" spans="21:23">
      <c r="U343" s="144">
        <v>68125.024479999993</v>
      </c>
      <c r="V343" s="144">
        <v>7844.74</v>
      </c>
      <c r="W343" s="143">
        <v>0.40500000000000003</v>
      </c>
    </row>
    <row r="344" spans="21:23">
      <c r="U344" s="144">
        <v>70128.724419999999</v>
      </c>
      <c r="V344" s="144">
        <v>7844.74</v>
      </c>
      <c r="W344" s="143">
        <v>1.115</v>
      </c>
    </row>
    <row r="345" spans="21:23">
      <c r="U345" s="144">
        <v>72132.424360000005</v>
      </c>
      <c r="V345" s="144">
        <v>7844.74</v>
      </c>
      <c r="W345" s="143">
        <v>4.34</v>
      </c>
    </row>
    <row r="346" spans="21:23">
      <c r="U346" s="144">
        <v>74136.124299999996</v>
      </c>
      <c r="V346" s="144">
        <v>7844.74</v>
      </c>
      <c r="W346" s="143">
        <v>4.05</v>
      </c>
    </row>
    <row r="347" spans="21:23">
      <c r="U347" s="144">
        <v>76139.746891999996</v>
      </c>
      <c r="V347" s="144">
        <v>7844.74</v>
      </c>
      <c r="W347" s="143">
        <v>2.44</v>
      </c>
    </row>
    <row r="348" spans="21:23">
      <c r="U348" s="144">
        <v>78143.137440000006</v>
      </c>
      <c r="V348" s="144">
        <v>7844.74</v>
      </c>
      <c r="W348" s="143">
        <v>0.81499999999999995</v>
      </c>
    </row>
    <row r="349" spans="21:23">
      <c r="U349" s="144">
        <v>82150.537320000003</v>
      </c>
      <c r="V349" s="144">
        <v>7844.74</v>
      </c>
      <c r="W349" s="143">
        <v>0.90500000000000003</v>
      </c>
    </row>
    <row r="350" spans="21:23">
      <c r="U350" s="144">
        <v>84154.623999999996</v>
      </c>
      <c r="V350" s="144">
        <v>7844.74</v>
      </c>
      <c r="W350" s="143">
        <v>1.72</v>
      </c>
    </row>
    <row r="351" spans="21:23">
      <c r="U351" s="144">
        <v>86157.9372</v>
      </c>
      <c r="V351" s="144">
        <v>7844.74</v>
      </c>
      <c r="W351" s="143">
        <v>1.53</v>
      </c>
    </row>
    <row r="352" spans="21:23">
      <c r="U352" s="144">
        <v>5.5881996300000004E-3</v>
      </c>
      <c r="V352" s="144">
        <v>11165.7</v>
      </c>
      <c r="W352" s="143">
        <v>29843100</v>
      </c>
    </row>
    <row r="353" spans="21:23">
      <c r="U353" s="144">
        <v>2003.6844703999998</v>
      </c>
      <c r="V353" s="144">
        <v>11165.7</v>
      </c>
      <c r="W353" s="143">
        <v>11108100</v>
      </c>
    </row>
    <row r="354" spans="21:23">
      <c r="U354" s="144">
        <v>4007.361206</v>
      </c>
      <c r="V354" s="144">
        <v>11165.7</v>
      </c>
      <c r="W354" s="143">
        <v>630404</v>
      </c>
    </row>
    <row r="355" spans="21:23">
      <c r="U355" s="144">
        <v>6011.0379415999996</v>
      </c>
      <c r="V355" s="144">
        <v>11165.7</v>
      </c>
      <c r="W355" s="143">
        <v>66279.5</v>
      </c>
    </row>
    <row r="356" spans="21:23">
      <c r="U356" s="144">
        <v>8014.7224120000001</v>
      </c>
      <c r="V356" s="144">
        <v>11165.7</v>
      </c>
      <c r="W356" s="143">
        <v>27569.1</v>
      </c>
    </row>
    <row r="357" spans="21:23">
      <c r="U357" s="144">
        <v>10018.422352</v>
      </c>
      <c r="V357" s="144">
        <v>11165.7</v>
      </c>
      <c r="W357" s="143">
        <v>21828.400000000001</v>
      </c>
    </row>
    <row r="358" spans="21:23">
      <c r="U358" s="144">
        <v>12022.044943999999</v>
      </c>
      <c r="V358" s="144">
        <v>11165.7</v>
      </c>
      <c r="W358" s="143">
        <v>4650.8500000000004</v>
      </c>
    </row>
    <row r="359" spans="21:23">
      <c r="U359" s="144">
        <v>14025.744884</v>
      </c>
      <c r="V359" s="144">
        <v>11165.7</v>
      </c>
      <c r="W359" s="143">
        <v>27.96</v>
      </c>
    </row>
    <row r="360" spans="21:23">
      <c r="U360" s="144">
        <v>16029.444824</v>
      </c>
      <c r="V360" s="144">
        <v>11165.7</v>
      </c>
      <c r="W360" s="143">
        <v>4529.5600000000004</v>
      </c>
    </row>
    <row r="361" spans="21:23">
      <c r="U361" s="144">
        <v>18033.144764000001</v>
      </c>
      <c r="V361" s="144">
        <v>11165.7</v>
      </c>
      <c r="W361" s="143">
        <v>0.01</v>
      </c>
    </row>
    <row r="362" spans="21:23">
      <c r="U362" s="144">
        <v>20036.767356</v>
      </c>
      <c r="V362" s="144">
        <v>11165.7</v>
      </c>
      <c r="W362" s="143">
        <v>626.72</v>
      </c>
    </row>
    <row r="363" spans="21:23">
      <c r="U363" s="144">
        <v>22040.467295999999</v>
      </c>
      <c r="V363" s="144">
        <v>11165.7</v>
      </c>
      <c r="W363" s="143">
        <v>1.04</v>
      </c>
    </row>
    <row r="364" spans="21:23">
      <c r="U364" s="144">
        <v>26047.789828000001</v>
      </c>
      <c r="V364" s="144">
        <v>11165.7</v>
      </c>
      <c r="W364" s="143">
        <v>0.2</v>
      </c>
    </row>
    <row r="365" spans="21:23">
      <c r="U365" s="144">
        <v>28051.489767999999</v>
      </c>
      <c r="V365" s="144">
        <v>11165.7</v>
      </c>
      <c r="W365" s="143">
        <v>300</v>
      </c>
    </row>
    <row r="366" spans="21:23">
      <c r="U366" s="144">
        <v>30055.189708000002</v>
      </c>
      <c r="V366" s="144">
        <v>11165.7</v>
      </c>
      <c r="W366" s="143">
        <v>1.4999999999999999E-2</v>
      </c>
    </row>
    <row r="367" spans="21:23">
      <c r="U367" s="144">
        <v>34062.512239999996</v>
      </c>
      <c r="V367" s="144">
        <v>11165.7</v>
      </c>
      <c r="W367" s="143">
        <v>0.02</v>
      </c>
    </row>
    <row r="368" spans="21:23">
      <c r="U368" s="144">
        <v>36066.212180000002</v>
      </c>
      <c r="V368" s="144">
        <v>11165.7</v>
      </c>
      <c r="W368" s="143">
        <v>0.05</v>
      </c>
    </row>
    <row r="369" spans="21:23">
      <c r="U369" s="144">
        <v>42077.234651999999</v>
      </c>
      <c r="V369" s="144">
        <v>11165.7</v>
      </c>
      <c r="W369" s="143">
        <v>9.5000000000000001E-2</v>
      </c>
    </row>
    <row r="370" spans="21:23">
      <c r="U370" s="144">
        <v>48088.257124000003</v>
      </c>
      <c r="V370" s="144">
        <v>11165.7</v>
      </c>
      <c r="W370" s="143">
        <v>0.185</v>
      </c>
    </row>
    <row r="371" spans="21:23">
      <c r="U371" s="144">
        <v>50091.957064000002</v>
      </c>
      <c r="V371" s="144">
        <v>11165.7</v>
      </c>
      <c r="W371" s="143">
        <v>0.16500000000000001</v>
      </c>
    </row>
    <row r="372" spans="21:23">
      <c r="U372" s="144">
        <v>52095.657004000001</v>
      </c>
      <c r="V372" s="144">
        <v>11165.7</v>
      </c>
      <c r="W372" s="143">
        <v>0.28000000000000003</v>
      </c>
    </row>
    <row r="373" spans="21:23">
      <c r="U373" s="144">
        <v>54099.279596</v>
      </c>
      <c r="V373" s="144">
        <v>11165.7</v>
      </c>
      <c r="W373" s="143">
        <v>1.79</v>
      </c>
    </row>
    <row r="374" spans="21:23">
      <c r="U374" s="144">
        <v>56102.979535999999</v>
      </c>
      <c r="V374" s="144">
        <v>11165.7</v>
      </c>
      <c r="W374" s="143">
        <v>4.2300000000000004</v>
      </c>
    </row>
    <row r="375" spans="21:23">
      <c r="U375" s="144">
        <v>58106.679475999998</v>
      </c>
      <c r="V375" s="144">
        <v>11165.7</v>
      </c>
      <c r="W375" s="143">
        <v>4.33</v>
      </c>
    </row>
    <row r="376" spans="21:23">
      <c r="U376" s="144">
        <v>60110.379416000003</v>
      </c>
      <c r="V376" s="144">
        <v>11165.7</v>
      </c>
      <c r="W376" s="143">
        <v>1.675</v>
      </c>
    </row>
    <row r="377" spans="21:23">
      <c r="U377" s="144">
        <v>62114.002008000003</v>
      </c>
      <c r="V377" s="144">
        <v>11165.7</v>
      </c>
      <c r="W377" s="143">
        <v>4.1050000000000004</v>
      </c>
    </row>
    <row r="378" spans="21:23">
      <c r="U378" s="144">
        <v>64117.701948000002</v>
      </c>
      <c r="V378" s="144">
        <v>11165.7</v>
      </c>
      <c r="W378" s="143">
        <v>0.48</v>
      </c>
    </row>
    <row r="379" spans="21:23">
      <c r="U379" s="144">
        <v>68125.024479999993</v>
      </c>
      <c r="V379" s="144">
        <v>11165.7</v>
      </c>
      <c r="W379" s="143">
        <v>1.81</v>
      </c>
    </row>
    <row r="380" spans="21:23">
      <c r="U380" s="144">
        <v>70128.724419999999</v>
      </c>
      <c r="V380" s="144">
        <v>11165.7</v>
      </c>
      <c r="W380" s="143">
        <v>3.2549999999999999</v>
      </c>
    </row>
    <row r="381" spans="21:23">
      <c r="U381" s="144">
        <v>72132.424360000005</v>
      </c>
      <c r="V381" s="144">
        <v>11165.7</v>
      </c>
      <c r="W381" s="143">
        <v>0.61</v>
      </c>
    </row>
    <row r="382" spans="21:23">
      <c r="U382" s="144">
        <v>74136.124299999996</v>
      </c>
      <c r="V382" s="144">
        <v>11165.7</v>
      </c>
      <c r="W382" s="143">
        <v>1.325</v>
      </c>
    </row>
    <row r="383" spans="21:23">
      <c r="U383" s="144">
        <v>76139.746891999996</v>
      </c>
      <c r="V383" s="144">
        <v>11165.7</v>
      </c>
      <c r="W383" s="143">
        <v>0.92500000000000004</v>
      </c>
    </row>
    <row r="384" spans="21:23">
      <c r="U384" s="144">
        <v>80147.224119999999</v>
      </c>
      <c r="V384" s="144">
        <v>11165.7</v>
      </c>
      <c r="W384" s="143">
        <v>0.71499999999999997</v>
      </c>
    </row>
    <row r="385" spans="21:23">
      <c r="U385" s="144">
        <v>82150.537320000003</v>
      </c>
      <c r="V385" s="144">
        <v>11165.7</v>
      </c>
      <c r="W385" s="143">
        <v>0.81499999999999995</v>
      </c>
    </row>
    <row r="386" spans="21:23">
      <c r="U386" s="144">
        <v>5.5881996300000004E-3</v>
      </c>
      <c r="V386" s="144">
        <v>14486.6</v>
      </c>
      <c r="W386" s="143">
        <v>27723800</v>
      </c>
    </row>
    <row r="387" spans="21:23">
      <c r="U387" s="144">
        <v>2003.6844703999998</v>
      </c>
      <c r="V387" s="144">
        <v>14486.6</v>
      </c>
      <c r="W387" s="143">
        <v>10375700</v>
      </c>
    </row>
    <row r="388" spans="21:23">
      <c r="U388" s="144">
        <v>4007.361206</v>
      </c>
      <c r="V388" s="144">
        <v>14486.6</v>
      </c>
      <c r="W388" s="143">
        <v>928434</v>
      </c>
    </row>
    <row r="389" spans="21:23">
      <c r="U389" s="144">
        <v>6011.0379415999996</v>
      </c>
      <c r="V389" s="144">
        <v>14486.6</v>
      </c>
      <c r="W389" s="143">
        <v>150389</v>
      </c>
    </row>
    <row r="390" spans="21:23">
      <c r="U390" s="144">
        <v>8014.7224120000001</v>
      </c>
      <c r="V390" s="144">
        <v>14486.6</v>
      </c>
      <c r="W390" s="143">
        <v>39207.5</v>
      </c>
    </row>
    <row r="391" spans="21:23">
      <c r="U391" s="144">
        <v>10018.422352</v>
      </c>
      <c r="V391" s="144">
        <v>14486.6</v>
      </c>
      <c r="W391" s="143">
        <v>38918.300000000003</v>
      </c>
    </row>
    <row r="392" spans="21:23">
      <c r="U392" s="144">
        <v>12022.044943999999</v>
      </c>
      <c r="V392" s="144">
        <v>14486.6</v>
      </c>
      <c r="W392" s="143">
        <v>11609.6</v>
      </c>
    </row>
    <row r="393" spans="21:23">
      <c r="U393" s="144">
        <v>14025.744884</v>
      </c>
      <c r="V393" s="144">
        <v>14486.6</v>
      </c>
      <c r="W393" s="143">
        <v>6422.17</v>
      </c>
    </row>
    <row r="394" spans="21:23">
      <c r="U394" s="144">
        <v>16029.444824</v>
      </c>
      <c r="V394" s="144">
        <v>14486.6</v>
      </c>
      <c r="W394" s="143">
        <v>1096.28</v>
      </c>
    </row>
    <row r="395" spans="21:23">
      <c r="U395" s="144">
        <v>18033.144764000001</v>
      </c>
      <c r="V395" s="144">
        <v>14486.6</v>
      </c>
      <c r="W395" s="143">
        <v>505.185</v>
      </c>
    </row>
    <row r="396" spans="21:23">
      <c r="U396" s="144">
        <v>20036.767356</v>
      </c>
      <c r="V396" s="144">
        <v>14486.6</v>
      </c>
      <c r="W396" s="143">
        <v>4613.49</v>
      </c>
    </row>
    <row r="397" spans="21:23">
      <c r="U397" s="144">
        <v>22040.467295999999</v>
      </c>
      <c r="V397" s="144">
        <v>14486.6</v>
      </c>
      <c r="W397" s="143">
        <v>162.22</v>
      </c>
    </row>
    <row r="398" spans="21:23">
      <c r="U398" s="144">
        <v>24044.167236000001</v>
      </c>
      <c r="V398" s="144">
        <v>14486.6</v>
      </c>
      <c r="W398" s="143">
        <v>57.15</v>
      </c>
    </row>
    <row r="399" spans="21:23">
      <c r="U399" s="144">
        <v>26047.789828000001</v>
      </c>
      <c r="V399" s="144">
        <v>14486.6</v>
      </c>
      <c r="W399" s="143">
        <v>1.03</v>
      </c>
    </row>
    <row r="400" spans="21:23">
      <c r="U400" s="144">
        <v>30055.189708000002</v>
      </c>
      <c r="V400" s="144">
        <v>14486.6</v>
      </c>
      <c r="W400" s="143">
        <v>0.2</v>
      </c>
    </row>
    <row r="401" spans="21:23">
      <c r="U401" s="144">
        <v>34062.512239999996</v>
      </c>
      <c r="V401" s="144">
        <v>14486.6</v>
      </c>
      <c r="W401" s="143">
        <v>0.4</v>
      </c>
    </row>
    <row r="402" spans="21:23">
      <c r="U402" s="144">
        <v>50091.957064000002</v>
      </c>
      <c r="V402" s="144">
        <v>14486.6</v>
      </c>
      <c r="W402" s="143">
        <v>0.04</v>
      </c>
    </row>
    <row r="403" spans="21:23">
      <c r="U403" s="144">
        <v>52095.657004000001</v>
      </c>
      <c r="V403" s="144">
        <v>14486.6</v>
      </c>
      <c r="W403" s="143">
        <v>1.43</v>
      </c>
    </row>
    <row r="404" spans="21:23">
      <c r="U404" s="144">
        <v>54099.279596</v>
      </c>
      <c r="V404" s="144">
        <v>14486.6</v>
      </c>
      <c r="W404" s="143">
        <v>0.26</v>
      </c>
    </row>
    <row r="405" spans="21:23">
      <c r="U405" s="144">
        <v>58106.679475999998</v>
      </c>
      <c r="V405" s="144">
        <v>14486.6</v>
      </c>
      <c r="W405" s="143">
        <v>1.81</v>
      </c>
    </row>
    <row r="406" spans="21:23">
      <c r="U406" s="144">
        <v>60110.379416000003</v>
      </c>
      <c r="V406" s="144">
        <v>14486.6</v>
      </c>
      <c r="W406" s="143">
        <v>1.635</v>
      </c>
    </row>
    <row r="407" spans="21:23">
      <c r="U407" s="144">
        <v>64117.701948000002</v>
      </c>
      <c r="V407" s="144">
        <v>14486.6</v>
      </c>
      <c r="W407" s="143">
        <v>0.13</v>
      </c>
    </row>
    <row r="408" spans="21:23">
      <c r="U408" s="144">
        <v>80147.224119999999</v>
      </c>
      <c r="V408" s="144">
        <v>14486.6</v>
      </c>
      <c r="W408" s="143">
        <v>1.32</v>
      </c>
    </row>
    <row r="409" spans="21:23">
      <c r="U409" s="144">
        <v>5.5881996300000004E-3</v>
      </c>
      <c r="V409" s="144">
        <v>17807.5</v>
      </c>
      <c r="W409" s="143">
        <v>19890500</v>
      </c>
    </row>
    <row r="410" spans="21:23">
      <c r="U410" s="144">
        <v>2003.6844703999998</v>
      </c>
      <c r="V410" s="144">
        <v>17807.5</v>
      </c>
      <c r="W410" s="143">
        <v>10328400</v>
      </c>
    </row>
    <row r="411" spans="21:23">
      <c r="U411" s="144">
        <v>4007.361206</v>
      </c>
      <c r="V411" s="144">
        <v>17807.5</v>
      </c>
      <c r="W411" s="143">
        <v>1110240</v>
      </c>
    </row>
    <row r="412" spans="21:23">
      <c r="U412" s="144">
        <v>6011.0379415999996</v>
      </c>
      <c r="V412" s="144">
        <v>17807.5</v>
      </c>
      <c r="W412" s="143">
        <v>177457</v>
      </c>
    </row>
    <row r="413" spans="21:23">
      <c r="U413" s="144">
        <v>8014.7224120000001</v>
      </c>
      <c r="V413" s="144">
        <v>17807.5</v>
      </c>
      <c r="W413" s="143">
        <v>66044.3</v>
      </c>
    </row>
    <row r="414" spans="21:23">
      <c r="U414" s="144">
        <v>10018.422352</v>
      </c>
      <c r="V414" s="144">
        <v>17807.5</v>
      </c>
      <c r="W414" s="143">
        <v>30521.8</v>
      </c>
    </row>
    <row r="415" spans="21:23">
      <c r="U415" s="144">
        <v>12022.044943999999</v>
      </c>
      <c r="V415" s="144">
        <v>17807.5</v>
      </c>
      <c r="W415" s="143">
        <v>31598.5</v>
      </c>
    </row>
    <row r="416" spans="21:23">
      <c r="U416" s="144">
        <v>14025.744884</v>
      </c>
      <c r="V416" s="144">
        <v>17807.5</v>
      </c>
      <c r="W416" s="143">
        <v>22851.4</v>
      </c>
    </row>
    <row r="417" spans="21:23">
      <c r="U417" s="144">
        <v>16029.444824</v>
      </c>
      <c r="V417" s="144">
        <v>17807.5</v>
      </c>
      <c r="W417" s="143">
        <v>22411.7</v>
      </c>
    </row>
    <row r="418" spans="21:23">
      <c r="U418" s="144">
        <v>18033.144764000001</v>
      </c>
      <c r="V418" s="144">
        <v>17807.5</v>
      </c>
      <c r="W418" s="143">
        <v>9884.73</v>
      </c>
    </row>
    <row r="419" spans="21:23">
      <c r="U419" s="144">
        <v>20036.767356</v>
      </c>
      <c r="V419" s="144">
        <v>17807.5</v>
      </c>
      <c r="W419" s="143">
        <v>3037.35</v>
      </c>
    </row>
    <row r="420" spans="21:23">
      <c r="U420" s="144">
        <v>22040.467295999999</v>
      </c>
      <c r="V420" s="144">
        <v>17807.5</v>
      </c>
      <c r="W420" s="143">
        <v>5801.28</v>
      </c>
    </row>
    <row r="421" spans="21:23">
      <c r="U421" s="144">
        <v>24044.167236000001</v>
      </c>
      <c r="V421" s="144">
        <v>17807.5</v>
      </c>
      <c r="W421" s="143">
        <v>616.73500000000001</v>
      </c>
    </row>
    <row r="422" spans="21:23">
      <c r="U422" s="144">
        <v>26047.789828000001</v>
      </c>
      <c r="V422" s="144">
        <v>17807.5</v>
      </c>
      <c r="W422" s="143">
        <v>201.94499999999999</v>
      </c>
    </row>
    <row r="423" spans="21:23">
      <c r="U423" s="144">
        <v>28051.489767999999</v>
      </c>
      <c r="V423" s="144">
        <v>17807.5</v>
      </c>
      <c r="W423" s="143">
        <v>1.83</v>
      </c>
    </row>
    <row r="424" spans="21:23">
      <c r="U424" s="144">
        <v>30055.189708000002</v>
      </c>
      <c r="V424" s="144">
        <v>17807.5</v>
      </c>
      <c r="W424" s="143">
        <v>37.299999999999997</v>
      </c>
    </row>
    <row r="425" spans="21:23">
      <c r="U425" s="144">
        <v>32058.889648</v>
      </c>
      <c r="V425" s="144">
        <v>17807.5</v>
      </c>
      <c r="W425" s="143">
        <v>170.45500000000001</v>
      </c>
    </row>
    <row r="426" spans="21:23">
      <c r="U426" s="144">
        <v>34062.512239999996</v>
      </c>
      <c r="V426" s="144">
        <v>17807.5</v>
      </c>
      <c r="W426" s="143">
        <v>138.37</v>
      </c>
    </row>
    <row r="427" spans="21:23">
      <c r="U427" s="144">
        <v>76139.746891999996</v>
      </c>
      <c r="V427" s="144">
        <v>17807.5</v>
      </c>
      <c r="W427" s="143">
        <v>0.61</v>
      </c>
    </row>
    <row r="428" spans="21:23">
      <c r="U428" s="144">
        <v>5.5881996300000004E-3</v>
      </c>
      <c r="V428" s="144">
        <v>21128.400000000001</v>
      </c>
      <c r="W428" s="143">
        <v>18380800</v>
      </c>
    </row>
    <row r="429" spans="21:23">
      <c r="U429" s="144">
        <v>2003.6844703999998</v>
      </c>
      <c r="V429" s="144">
        <v>21128.400000000001</v>
      </c>
      <c r="W429" s="143">
        <v>9087490</v>
      </c>
    </row>
    <row r="430" spans="21:23">
      <c r="U430" s="144">
        <v>4007.361206</v>
      </c>
      <c r="V430" s="144">
        <v>21128.400000000001</v>
      </c>
      <c r="W430" s="143">
        <v>1189770</v>
      </c>
    </row>
    <row r="431" spans="21:23">
      <c r="U431" s="144">
        <v>6011.0379415999996</v>
      </c>
      <c r="V431" s="144">
        <v>21128.400000000001</v>
      </c>
      <c r="W431" s="143">
        <v>283128</v>
      </c>
    </row>
    <row r="432" spans="21:23">
      <c r="U432" s="144">
        <v>8014.7224120000001</v>
      </c>
      <c r="V432" s="144">
        <v>21128.400000000001</v>
      </c>
      <c r="W432" s="143">
        <v>182220</v>
      </c>
    </row>
    <row r="433" spans="21:23">
      <c r="U433" s="144">
        <v>10018.422352</v>
      </c>
      <c r="V433" s="144">
        <v>21128.400000000001</v>
      </c>
      <c r="W433" s="143">
        <v>90749.9</v>
      </c>
    </row>
    <row r="434" spans="21:23">
      <c r="U434" s="144">
        <v>12022.044943999999</v>
      </c>
      <c r="V434" s="144">
        <v>21128.400000000001</v>
      </c>
      <c r="W434" s="143">
        <v>43598</v>
      </c>
    </row>
    <row r="435" spans="21:23">
      <c r="U435" s="144">
        <v>14025.744884</v>
      </c>
      <c r="V435" s="144">
        <v>21128.400000000001</v>
      </c>
      <c r="W435" s="143">
        <v>34461</v>
      </c>
    </row>
    <row r="436" spans="21:23">
      <c r="U436" s="144">
        <v>16029.444824</v>
      </c>
      <c r="V436" s="144">
        <v>21128.400000000001</v>
      </c>
      <c r="W436" s="143">
        <v>18559.400000000001</v>
      </c>
    </row>
    <row r="437" spans="21:23">
      <c r="U437" s="144">
        <v>18033.144764000001</v>
      </c>
      <c r="V437" s="144">
        <v>21128.400000000001</v>
      </c>
      <c r="W437" s="143">
        <v>13500.6</v>
      </c>
    </row>
    <row r="438" spans="21:23">
      <c r="U438" s="144">
        <v>20036.767356</v>
      </c>
      <c r="V438" s="144">
        <v>21128.400000000001</v>
      </c>
      <c r="W438" s="143">
        <v>10115.200000000001</v>
      </c>
    </row>
    <row r="439" spans="21:23">
      <c r="U439" s="144">
        <v>22040.467295999999</v>
      </c>
      <c r="V439" s="144">
        <v>21128.400000000001</v>
      </c>
      <c r="W439" s="143">
        <v>6652.97</v>
      </c>
    </row>
    <row r="440" spans="21:23">
      <c r="U440" s="144">
        <v>24044.167236000001</v>
      </c>
      <c r="V440" s="144">
        <v>21128.400000000001</v>
      </c>
      <c r="W440" s="143">
        <v>10699.2</v>
      </c>
    </row>
    <row r="441" spans="21:23">
      <c r="U441" s="144">
        <v>26047.789828000001</v>
      </c>
      <c r="V441" s="144">
        <v>21128.400000000001</v>
      </c>
      <c r="W441" s="143">
        <v>935.495</v>
      </c>
    </row>
    <row r="442" spans="21:23">
      <c r="U442" s="144">
        <v>28051.489767999999</v>
      </c>
      <c r="V442" s="144">
        <v>21128.400000000001</v>
      </c>
      <c r="W442" s="143">
        <v>550.15</v>
      </c>
    </row>
    <row r="443" spans="21:23">
      <c r="U443" s="144">
        <v>30055.189708000002</v>
      </c>
      <c r="V443" s="144">
        <v>21128.400000000001</v>
      </c>
      <c r="W443" s="143">
        <v>137.36000000000001</v>
      </c>
    </row>
    <row r="444" spans="21:23">
      <c r="U444" s="144">
        <v>32058.889648</v>
      </c>
      <c r="V444" s="144">
        <v>21128.400000000001</v>
      </c>
      <c r="W444" s="143">
        <v>0.51500000000000001</v>
      </c>
    </row>
    <row r="445" spans="21:23">
      <c r="U445" s="144">
        <v>5.5881996300000004E-3</v>
      </c>
      <c r="V445" s="144">
        <v>24449.3</v>
      </c>
      <c r="W445" s="143">
        <v>25839100</v>
      </c>
    </row>
    <row r="446" spans="21:23">
      <c r="U446" s="144">
        <v>2003.6844703999998</v>
      </c>
      <c r="V446" s="144">
        <v>24449.3</v>
      </c>
      <c r="W446" s="143">
        <v>14784600</v>
      </c>
    </row>
    <row r="447" spans="21:23">
      <c r="U447" s="144">
        <v>4007.361206</v>
      </c>
      <c r="V447" s="144">
        <v>24449.3</v>
      </c>
      <c r="W447" s="143">
        <v>2220430</v>
      </c>
    </row>
    <row r="448" spans="21:23">
      <c r="U448" s="144">
        <v>6011.0379415999996</v>
      </c>
      <c r="V448" s="144">
        <v>24449.3</v>
      </c>
      <c r="W448" s="143">
        <v>618422</v>
      </c>
    </row>
    <row r="449" spans="21:23">
      <c r="U449" s="144">
        <v>8014.7224120000001</v>
      </c>
      <c r="V449" s="144">
        <v>24449.3</v>
      </c>
      <c r="W449" s="143">
        <v>257489</v>
      </c>
    </row>
    <row r="450" spans="21:23">
      <c r="U450" s="144">
        <v>10018.422352</v>
      </c>
      <c r="V450" s="144">
        <v>24449.3</v>
      </c>
      <c r="W450" s="143">
        <v>120940</v>
      </c>
    </row>
    <row r="451" spans="21:23">
      <c r="U451" s="144">
        <v>12022.044943999999</v>
      </c>
      <c r="V451" s="144">
        <v>24449.3</v>
      </c>
      <c r="W451" s="143">
        <v>60321.1</v>
      </c>
    </row>
    <row r="452" spans="21:23">
      <c r="U452" s="144">
        <v>14025.744884</v>
      </c>
      <c r="V452" s="144">
        <v>24449.3</v>
      </c>
      <c r="W452" s="143">
        <v>50609.3</v>
      </c>
    </row>
    <row r="453" spans="21:23">
      <c r="U453" s="144">
        <v>16029.444824</v>
      </c>
      <c r="V453" s="144">
        <v>24449.3</v>
      </c>
      <c r="W453" s="143">
        <v>40942.400000000001</v>
      </c>
    </row>
    <row r="454" spans="21:23">
      <c r="U454" s="144">
        <v>18033.144764000001</v>
      </c>
      <c r="V454" s="144">
        <v>24449.3</v>
      </c>
      <c r="W454" s="143">
        <v>20907.5</v>
      </c>
    </row>
    <row r="455" spans="21:23">
      <c r="U455" s="144">
        <v>20036.767356</v>
      </c>
      <c r="V455" s="144">
        <v>24449.3</v>
      </c>
      <c r="W455" s="143">
        <v>20025.7</v>
      </c>
    </row>
    <row r="456" spans="21:23">
      <c r="U456" s="144">
        <v>22040.467295999999</v>
      </c>
      <c r="V456" s="144">
        <v>24449.3</v>
      </c>
      <c r="W456" s="143">
        <v>8870.49</v>
      </c>
    </row>
    <row r="457" spans="21:23">
      <c r="U457" s="144">
        <v>24044.167236000001</v>
      </c>
      <c r="V457" s="144">
        <v>24449.3</v>
      </c>
      <c r="W457" s="143">
        <v>7071.98</v>
      </c>
    </row>
    <row r="458" spans="21:23">
      <c r="U458" s="144">
        <v>26047.789828000001</v>
      </c>
      <c r="V458" s="144">
        <v>24449.3</v>
      </c>
      <c r="W458" s="143">
        <v>1697.65</v>
      </c>
    </row>
    <row r="459" spans="21:23">
      <c r="U459" s="144">
        <v>28051.489767999999</v>
      </c>
      <c r="V459" s="144">
        <v>24449.3</v>
      </c>
      <c r="W459" s="143">
        <v>901.49</v>
      </c>
    </row>
    <row r="460" spans="21:23">
      <c r="U460" s="144">
        <v>30055.189708000002</v>
      </c>
      <c r="V460" s="144">
        <v>24449.3</v>
      </c>
      <c r="W460" s="143">
        <v>141.505</v>
      </c>
    </row>
    <row r="461" spans="21:23">
      <c r="U461" s="144">
        <v>32058.889648</v>
      </c>
      <c r="V461" s="144">
        <v>24449.3</v>
      </c>
      <c r="W461" s="143">
        <v>3.63</v>
      </c>
    </row>
    <row r="462" spans="21:23">
      <c r="U462" s="144">
        <v>34062.512239999996</v>
      </c>
      <c r="V462" s="144">
        <v>24449.3</v>
      </c>
      <c r="W462" s="143">
        <v>3.63</v>
      </c>
    </row>
    <row r="463" spans="21:23">
      <c r="U463" s="144">
        <v>40073.534712000001</v>
      </c>
      <c r="V463" s="144">
        <v>24449.3</v>
      </c>
      <c r="W463" s="143">
        <v>1.7250000000000001</v>
      </c>
    </row>
    <row r="464" spans="21:23">
      <c r="U464" s="144">
        <v>46084.634531999996</v>
      </c>
      <c r="V464" s="144">
        <v>24449.3</v>
      </c>
      <c r="W464" s="143">
        <v>625</v>
      </c>
    </row>
    <row r="465" spans="21:23">
      <c r="U465" s="144">
        <v>48088.257124000003</v>
      </c>
      <c r="V465" s="144">
        <v>24449.3</v>
      </c>
      <c r="W465" s="143">
        <v>600</v>
      </c>
    </row>
    <row r="466" spans="21:23">
      <c r="U466" s="144">
        <v>5.5881996300000004E-3</v>
      </c>
      <c r="V466" s="144">
        <v>27770.2</v>
      </c>
      <c r="W466" s="143">
        <v>27846000</v>
      </c>
    </row>
    <row r="467" spans="21:23">
      <c r="U467" s="144">
        <v>2003.6844703999998</v>
      </c>
      <c r="V467" s="144">
        <v>27770.2</v>
      </c>
      <c r="W467" s="143">
        <v>11223800</v>
      </c>
    </row>
    <row r="468" spans="21:23">
      <c r="U468" s="144">
        <v>4007.361206</v>
      </c>
      <c r="V468" s="144">
        <v>27770.2</v>
      </c>
      <c r="W468" s="143">
        <v>3256600</v>
      </c>
    </row>
    <row r="469" spans="21:23">
      <c r="U469" s="144">
        <v>6011.0379415999996</v>
      </c>
      <c r="V469" s="144">
        <v>27770.2</v>
      </c>
      <c r="W469" s="143">
        <v>1269900</v>
      </c>
    </row>
    <row r="470" spans="21:23">
      <c r="U470" s="144">
        <v>8014.7224120000001</v>
      </c>
      <c r="V470" s="144">
        <v>27770.2</v>
      </c>
      <c r="W470" s="143">
        <v>593198</v>
      </c>
    </row>
    <row r="471" spans="21:23">
      <c r="U471" s="144">
        <v>10018.422352</v>
      </c>
      <c r="V471" s="144">
        <v>27770.2</v>
      </c>
      <c r="W471" s="143">
        <v>271481</v>
      </c>
    </row>
    <row r="472" spans="21:23">
      <c r="U472" s="144">
        <v>12022.044943999999</v>
      </c>
      <c r="V472" s="144">
        <v>27770.2</v>
      </c>
      <c r="W472" s="143">
        <v>170615</v>
      </c>
    </row>
    <row r="473" spans="21:23">
      <c r="U473" s="144">
        <v>14025.744884</v>
      </c>
      <c r="V473" s="144">
        <v>27770.2</v>
      </c>
      <c r="W473" s="143">
        <v>96498.2</v>
      </c>
    </row>
    <row r="474" spans="21:23">
      <c r="U474" s="144">
        <v>16029.444824</v>
      </c>
      <c r="V474" s="144">
        <v>27770.2</v>
      </c>
      <c r="W474" s="143">
        <v>67287.8</v>
      </c>
    </row>
    <row r="475" spans="21:23">
      <c r="U475" s="144">
        <v>18033.144764000001</v>
      </c>
      <c r="V475" s="144">
        <v>27770.2</v>
      </c>
      <c r="W475" s="143">
        <v>44703</v>
      </c>
    </row>
    <row r="476" spans="21:23">
      <c r="U476" s="144">
        <v>20036.767356</v>
      </c>
      <c r="V476" s="144">
        <v>27770.2</v>
      </c>
      <c r="W476" s="143">
        <v>23283.200000000001</v>
      </c>
    </row>
    <row r="477" spans="21:23">
      <c r="U477" s="144">
        <v>22040.467295999999</v>
      </c>
      <c r="V477" s="144">
        <v>27770.2</v>
      </c>
      <c r="W477" s="143">
        <v>12455.5</v>
      </c>
    </row>
    <row r="478" spans="21:23">
      <c r="U478" s="144">
        <v>24044.167236000001</v>
      </c>
      <c r="V478" s="144">
        <v>27770.2</v>
      </c>
      <c r="W478" s="143">
        <v>10966.9</v>
      </c>
    </row>
    <row r="479" spans="21:23">
      <c r="U479" s="144">
        <v>26047.789828000001</v>
      </c>
      <c r="V479" s="144">
        <v>27770.2</v>
      </c>
      <c r="W479" s="143">
        <v>3662.17</v>
      </c>
    </row>
    <row r="480" spans="21:23">
      <c r="U480" s="144">
        <v>28051.489767999999</v>
      </c>
      <c r="V480" s="144">
        <v>27770.2</v>
      </c>
      <c r="W480" s="143">
        <v>1083.21</v>
      </c>
    </row>
    <row r="481" spans="21:23">
      <c r="U481" s="144">
        <v>30055.189708000002</v>
      </c>
      <c r="V481" s="144">
        <v>27770.2</v>
      </c>
      <c r="W481" s="143">
        <v>1262.8399999999999</v>
      </c>
    </row>
    <row r="482" spans="21:23">
      <c r="U482" s="144">
        <v>32058.889648</v>
      </c>
      <c r="V482" s="144">
        <v>27770.2</v>
      </c>
      <c r="W482" s="143">
        <v>340.77</v>
      </c>
    </row>
    <row r="483" spans="21:23">
      <c r="U483" s="144">
        <v>34062.512239999996</v>
      </c>
      <c r="V483" s="144">
        <v>27770.2</v>
      </c>
      <c r="W483" s="143">
        <v>29.03</v>
      </c>
    </row>
    <row r="484" spans="21:23">
      <c r="U484" s="144">
        <v>36066.212180000002</v>
      </c>
      <c r="V484" s="144">
        <v>27770.2</v>
      </c>
      <c r="W484" s="143">
        <v>5.0199999999999996</v>
      </c>
    </row>
    <row r="485" spans="21:23">
      <c r="U485" s="144">
        <v>38069.912120000001</v>
      </c>
      <c r="V485" s="144">
        <v>27770.2</v>
      </c>
      <c r="W485" s="143">
        <v>2.6</v>
      </c>
    </row>
    <row r="486" spans="21:23">
      <c r="U486" s="144">
        <v>5.5881996300000004E-3</v>
      </c>
      <c r="V486" s="144">
        <v>31091.1</v>
      </c>
      <c r="W486" s="143">
        <v>36821200</v>
      </c>
    </row>
    <row r="487" spans="21:23">
      <c r="U487" s="144">
        <v>2003.6844703999998</v>
      </c>
      <c r="V487" s="144">
        <v>31091.1</v>
      </c>
      <c r="W487" s="143">
        <v>14320700</v>
      </c>
    </row>
    <row r="488" spans="21:23">
      <c r="U488" s="144">
        <v>4007.361206</v>
      </c>
      <c r="V488" s="144">
        <v>31091.1</v>
      </c>
      <c r="W488" s="143">
        <v>5498270</v>
      </c>
    </row>
    <row r="489" spans="21:23">
      <c r="U489" s="144">
        <v>6011.0379415999996</v>
      </c>
      <c r="V489" s="144">
        <v>31091.1</v>
      </c>
      <c r="W489" s="143">
        <v>2181650</v>
      </c>
    </row>
    <row r="490" spans="21:23">
      <c r="U490" s="144">
        <v>8014.7224120000001</v>
      </c>
      <c r="V490" s="144">
        <v>31091.1</v>
      </c>
      <c r="W490" s="143">
        <v>973493</v>
      </c>
    </row>
    <row r="491" spans="21:23">
      <c r="U491" s="144">
        <v>10018.422352</v>
      </c>
      <c r="V491" s="144">
        <v>31091.1</v>
      </c>
      <c r="W491" s="143">
        <v>524075</v>
      </c>
    </row>
    <row r="492" spans="21:23">
      <c r="U492" s="144">
        <v>12022.044943999999</v>
      </c>
      <c r="V492" s="144">
        <v>31091.1</v>
      </c>
      <c r="W492" s="143">
        <v>303677</v>
      </c>
    </row>
    <row r="493" spans="21:23">
      <c r="U493" s="144">
        <v>14025.744884</v>
      </c>
      <c r="V493" s="144">
        <v>31091.1</v>
      </c>
      <c r="W493" s="143">
        <v>177992</v>
      </c>
    </row>
    <row r="494" spans="21:23">
      <c r="U494" s="144">
        <v>16029.444824</v>
      </c>
      <c r="V494" s="144">
        <v>31091.1</v>
      </c>
      <c r="W494" s="143">
        <v>133108</v>
      </c>
    </row>
    <row r="495" spans="21:23">
      <c r="U495" s="144">
        <v>18033.144764000001</v>
      </c>
      <c r="V495" s="144">
        <v>31091.1</v>
      </c>
      <c r="W495" s="143">
        <v>83842.7</v>
      </c>
    </row>
    <row r="496" spans="21:23">
      <c r="U496" s="144">
        <v>20036.767356</v>
      </c>
      <c r="V496" s="144">
        <v>31091.1</v>
      </c>
      <c r="W496" s="143">
        <v>37263.800000000003</v>
      </c>
    </row>
    <row r="497" spans="21:23">
      <c r="U497" s="144">
        <v>22040.467295999999</v>
      </c>
      <c r="V497" s="144">
        <v>31091.1</v>
      </c>
      <c r="W497" s="143">
        <v>34342.5</v>
      </c>
    </row>
    <row r="498" spans="21:23">
      <c r="U498" s="144">
        <v>24044.167236000001</v>
      </c>
      <c r="V498" s="144">
        <v>31091.1</v>
      </c>
      <c r="W498" s="143">
        <v>11560.8</v>
      </c>
    </row>
    <row r="499" spans="21:23">
      <c r="U499" s="144">
        <v>26047.789828000001</v>
      </c>
      <c r="V499" s="144">
        <v>31091.1</v>
      </c>
      <c r="W499" s="143">
        <v>6896.72</v>
      </c>
    </row>
    <row r="500" spans="21:23">
      <c r="U500" s="144">
        <v>28051.489767999999</v>
      </c>
      <c r="V500" s="144">
        <v>31091.1</v>
      </c>
      <c r="W500" s="143">
        <v>3076.92</v>
      </c>
    </row>
    <row r="501" spans="21:23">
      <c r="U501" s="144">
        <v>30055.189708000002</v>
      </c>
      <c r="V501" s="144">
        <v>31091.1</v>
      </c>
      <c r="W501" s="143">
        <v>7813.48</v>
      </c>
    </row>
    <row r="502" spans="21:23">
      <c r="U502" s="144">
        <v>32058.889648</v>
      </c>
      <c r="V502" s="144">
        <v>31091.1</v>
      </c>
      <c r="W502" s="143">
        <v>1855.71</v>
      </c>
    </row>
    <row r="503" spans="21:23">
      <c r="U503" s="144">
        <v>34062.512239999996</v>
      </c>
      <c r="V503" s="144">
        <v>31091.1</v>
      </c>
      <c r="W503" s="143">
        <v>1625.55</v>
      </c>
    </row>
    <row r="504" spans="21:23">
      <c r="U504" s="144">
        <v>36066.212180000002</v>
      </c>
      <c r="V504" s="144">
        <v>31091.1</v>
      </c>
      <c r="W504" s="143">
        <v>12.82</v>
      </c>
    </row>
    <row r="505" spans="21:23">
      <c r="U505" s="144">
        <v>38069.912120000001</v>
      </c>
      <c r="V505" s="144">
        <v>31091.1</v>
      </c>
      <c r="W505" s="143">
        <v>18.065000000000001</v>
      </c>
    </row>
    <row r="506" spans="21:23">
      <c r="U506" s="144">
        <v>5.5881996300000004E-3</v>
      </c>
      <c r="V506" s="144">
        <v>34412.1</v>
      </c>
      <c r="W506" s="143">
        <v>41676900</v>
      </c>
    </row>
    <row r="507" spans="21:23">
      <c r="U507" s="144">
        <v>2003.6844703999998</v>
      </c>
      <c r="V507" s="144">
        <v>34412.1</v>
      </c>
      <c r="W507" s="143">
        <v>20386500</v>
      </c>
    </row>
    <row r="508" spans="21:23">
      <c r="U508" s="144">
        <v>4007.361206</v>
      </c>
      <c r="V508" s="144">
        <v>34412.1</v>
      </c>
      <c r="W508" s="143">
        <v>8268190</v>
      </c>
    </row>
    <row r="509" spans="21:23">
      <c r="U509" s="144">
        <v>6011.0379415999996</v>
      </c>
      <c r="V509" s="144">
        <v>34412.1</v>
      </c>
      <c r="W509" s="143">
        <v>3043920</v>
      </c>
    </row>
    <row r="510" spans="21:23">
      <c r="U510" s="144">
        <v>8014.7224120000001</v>
      </c>
      <c r="V510" s="144">
        <v>34412.1</v>
      </c>
      <c r="W510" s="143">
        <v>1232680</v>
      </c>
    </row>
    <row r="511" spans="21:23">
      <c r="U511" s="144">
        <v>10018.422352</v>
      </c>
      <c r="V511" s="144">
        <v>34412.1</v>
      </c>
      <c r="W511" s="143">
        <v>666097</v>
      </c>
    </row>
    <row r="512" spans="21:23">
      <c r="U512" s="144">
        <v>12022.044943999999</v>
      </c>
      <c r="V512" s="144">
        <v>34412.1</v>
      </c>
      <c r="W512" s="143">
        <v>369630</v>
      </c>
    </row>
    <row r="513" spans="21:23">
      <c r="U513" s="144">
        <v>14025.744884</v>
      </c>
      <c r="V513" s="144">
        <v>34412.1</v>
      </c>
      <c r="W513" s="143">
        <v>193813</v>
      </c>
    </row>
    <row r="514" spans="21:23">
      <c r="U514" s="144">
        <v>16029.444824</v>
      </c>
      <c r="V514" s="144">
        <v>34412.1</v>
      </c>
      <c r="W514" s="143">
        <v>134864</v>
      </c>
    </row>
    <row r="515" spans="21:23">
      <c r="U515" s="144">
        <v>18033.144764000001</v>
      </c>
      <c r="V515" s="144">
        <v>34412.1</v>
      </c>
      <c r="W515" s="143">
        <v>58781.5</v>
      </c>
    </row>
    <row r="516" spans="21:23">
      <c r="U516" s="144">
        <v>20036.767356</v>
      </c>
      <c r="V516" s="144">
        <v>34412.1</v>
      </c>
      <c r="W516" s="143">
        <v>44164.2</v>
      </c>
    </row>
    <row r="517" spans="21:23">
      <c r="U517" s="144">
        <v>22040.467295999999</v>
      </c>
      <c r="V517" s="144">
        <v>34412.1</v>
      </c>
      <c r="W517" s="143">
        <v>24069.599999999999</v>
      </c>
    </row>
    <row r="518" spans="21:23">
      <c r="U518" s="144">
        <v>24044.167236000001</v>
      </c>
      <c r="V518" s="144">
        <v>34412.1</v>
      </c>
      <c r="W518" s="143">
        <v>10148.1</v>
      </c>
    </row>
    <row r="519" spans="21:23">
      <c r="U519" s="144">
        <v>26047.789828000001</v>
      </c>
      <c r="V519" s="144">
        <v>34412.1</v>
      </c>
      <c r="W519" s="143">
        <v>11358.5</v>
      </c>
    </row>
    <row r="520" spans="21:23">
      <c r="U520" s="144">
        <v>28051.489767999999</v>
      </c>
      <c r="V520" s="144">
        <v>34412.1</v>
      </c>
      <c r="W520" s="143">
        <v>6512.85</v>
      </c>
    </row>
    <row r="521" spans="21:23">
      <c r="U521" s="144">
        <v>30055.189708000002</v>
      </c>
      <c r="V521" s="144">
        <v>34412.1</v>
      </c>
      <c r="W521" s="143">
        <v>10515.7</v>
      </c>
    </row>
    <row r="522" spans="21:23">
      <c r="U522" s="144">
        <v>32058.889648</v>
      </c>
      <c r="V522" s="144">
        <v>34412.1</v>
      </c>
      <c r="W522" s="143">
        <v>942.59</v>
      </c>
    </row>
    <row r="523" spans="21:23">
      <c r="U523" s="144">
        <v>34062.512239999996</v>
      </c>
      <c r="V523" s="144">
        <v>34412.1</v>
      </c>
      <c r="W523" s="143">
        <v>5982.63</v>
      </c>
    </row>
    <row r="524" spans="21:23">
      <c r="U524" s="144">
        <v>36066.212180000002</v>
      </c>
      <c r="V524" s="144">
        <v>34412.1</v>
      </c>
      <c r="W524" s="143">
        <v>1195.69</v>
      </c>
    </row>
    <row r="525" spans="21:23">
      <c r="U525" s="144">
        <v>38069.912120000001</v>
      </c>
      <c r="V525" s="144">
        <v>34412.1</v>
      </c>
      <c r="W525" s="143">
        <v>13.98</v>
      </c>
    </row>
    <row r="526" spans="21:23">
      <c r="U526" s="144">
        <v>40073.534712000001</v>
      </c>
      <c r="V526" s="144">
        <v>34412.1</v>
      </c>
      <c r="W526" s="143">
        <v>50.64</v>
      </c>
    </row>
    <row r="527" spans="21:23">
      <c r="U527" s="144">
        <v>42077.234651999999</v>
      </c>
      <c r="V527" s="144">
        <v>34412.1</v>
      </c>
      <c r="W527" s="143">
        <v>5.0650000000000004</v>
      </c>
    </row>
    <row r="528" spans="21:23">
      <c r="U528" s="144">
        <v>5.5881996300000004E-3</v>
      </c>
      <c r="V528" s="144">
        <v>37733</v>
      </c>
      <c r="W528" s="143">
        <v>35213500</v>
      </c>
    </row>
    <row r="529" spans="21:23">
      <c r="U529" s="144">
        <v>2003.6844703999998</v>
      </c>
      <c r="V529" s="144">
        <v>37733</v>
      </c>
      <c r="W529" s="143">
        <v>21268700</v>
      </c>
    </row>
    <row r="530" spans="21:23">
      <c r="U530" s="144">
        <v>4007.361206</v>
      </c>
      <c r="V530" s="144">
        <v>37733</v>
      </c>
      <c r="W530" s="143">
        <v>9923440</v>
      </c>
    </row>
    <row r="531" spans="21:23">
      <c r="U531" s="144">
        <v>6011.0379415999996</v>
      </c>
      <c r="V531" s="144">
        <v>37733</v>
      </c>
      <c r="W531" s="143">
        <v>3158250</v>
      </c>
    </row>
    <row r="532" spans="21:23">
      <c r="U532" s="144">
        <v>8014.7224120000001</v>
      </c>
      <c r="V532" s="144">
        <v>37733</v>
      </c>
      <c r="W532" s="143">
        <v>1217440</v>
      </c>
    </row>
    <row r="533" spans="21:23">
      <c r="U533" s="144">
        <v>10018.422352</v>
      </c>
      <c r="V533" s="144">
        <v>37733</v>
      </c>
      <c r="W533" s="143">
        <v>591697</v>
      </c>
    </row>
    <row r="534" spans="21:23">
      <c r="U534" s="144">
        <v>12022.044943999999</v>
      </c>
      <c r="V534" s="144">
        <v>37733</v>
      </c>
      <c r="W534" s="143">
        <v>286329</v>
      </c>
    </row>
    <row r="535" spans="21:23">
      <c r="U535" s="144">
        <v>14025.744884</v>
      </c>
      <c r="V535" s="144">
        <v>37733</v>
      </c>
      <c r="W535" s="143">
        <v>158110</v>
      </c>
    </row>
    <row r="536" spans="21:23">
      <c r="U536" s="144">
        <v>16029.444824</v>
      </c>
      <c r="V536" s="144">
        <v>37733</v>
      </c>
      <c r="W536" s="143">
        <v>111625</v>
      </c>
    </row>
    <row r="537" spans="21:23">
      <c r="U537" s="144">
        <v>18033.144764000001</v>
      </c>
      <c r="V537" s="144">
        <v>37733</v>
      </c>
      <c r="W537" s="143">
        <v>47660.9</v>
      </c>
    </row>
    <row r="538" spans="21:23">
      <c r="U538" s="144">
        <v>20036.767356</v>
      </c>
      <c r="V538" s="144">
        <v>37733</v>
      </c>
      <c r="W538" s="143">
        <v>68505.100000000006</v>
      </c>
    </row>
    <row r="539" spans="21:23">
      <c r="U539" s="144">
        <v>22040.467295999999</v>
      </c>
      <c r="V539" s="144">
        <v>37733</v>
      </c>
      <c r="W539" s="143">
        <v>38939</v>
      </c>
    </row>
    <row r="540" spans="21:23">
      <c r="U540" s="144">
        <v>24044.167236000001</v>
      </c>
      <c r="V540" s="144">
        <v>37733</v>
      </c>
      <c r="W540" s="143">
        <v>28822.400000000001</v>
      </c>
    </row>
    <row r="541" spans="21:23">
      <c r="U541" s="144">
        <v>26047.789828000001</v>
      </c>
      <c r="V541" s="144">
        <v>37733</v>
      </c>
      <c r="W541" s="143">
        <v>17415.8</v>
      </c>
    </row>
    <row r="542" spans="21:23">
      <c r="U542" s="144">
        <v>28051.489767999999</v>
      </c>
      <c r="V542" s="144">
        <v>37733</v>
      </c>
      <c r="W542" s="143">
        <v>22322.1</v>
      </c>
    </row>
    <row r="543" spans="21:23">
      <c r="U543" s="144">
        <v>30055.189708000002</v>
      </c>
      <c r="V543" s="144">
        <v>37733</v>
      </c>
      <c r="W543" s="143">
        <v>5246.46</v>
      </c>
    </row>
    <row r="544" spans="21:23">
      <c r="U544" s="144">
        <v>32058.889648</v>
      </c>
      <c r="V544" s="144">
        <v>37733</v>
      </c>
      <c r="W544" s="143">
        <v>11161.3</v>
      </c>
    </row>
    <row r="545" spans="21:23">
      <c r="U545" s="144">
        <v>34062.512239999996</v>
      </c>
      <c r="V545" s="144">
        <v>37733</v>
      </c>
      <c r="W545" s="143">
        <v>4500.0200000000004</v>
      </c>
    </row>
    <row r="546" spans="21:23">
      <c r="U546" s="144">
        <v>36066.212180000002</v>
      </c>
      <c r="V546" s="144">
        <v>37733</v>
      </c>
      <c r="W546" s="143">
        <v>4767.8599999999997</v>
      </c>
    </row>
    <row r="547" spans="21:23">
      <c r="U547" s="144">
        <v>38069.912120000001</v>
      </c>
      <c r="V547" s="144">
        <v>37733</v>
      </c>
      <c r="W547" s="143">
        <v>5644.44</v>
      </c>
    </row>
    <row r="548" spans="21:23">
      <c r="U548" s="144">
        <v>40073.534712000001</v>
      </c>
      <c r="V548" s="144">
        <v>37733</v>
      </c>
      <c r="W548" s="143">
        <v>5.0650000000000004</v>
      </c>
    </row>
    <row r="549" spans="21:23">
      <c r="U549" s="144">
        <v>44080.934591999998</v>
      </c>
      <c r="V549" s="144">
        <v>37733</v>
      </c>
      <c r="W549" s="143">
        <v>5.0650000000000004</v>
      </c>
    </row>
    <row r="550" spans="21:23">
      <c r="U550" s="144">
        <v>5.5881996300000004E-3</v>
      </c>
      <c r="V550" s="144">
        <v>41053.9</v>
      </c>
      <c r="W550" s="143">
        <v>28395700</v>
      </c>
    </row>
    <row r="551" spans="21:23">
      <c r="U551" s="144">
        <v>2003.6844703999998</v>
      </c>
      <c r="V551" s="144">
        <v>41053.9</v>
      </c>
      <c r="W551" s="143">
        <v>19691700</v>
      </c>
    </row>
    <row r="552" spans="21:23">
      <c r="U552" s="144">
        <v>4007.361206</v>
      </c>
      <c r="V552" s="144">
        <v>41053.9</v>
      </c>
      <c r="W552" s="143">
        <v>9347790</v>
      </c>
    </row>
    <row r="553" spans="21:23">
      <c r="U553" s="144">
        <v>6011.0379415999996</v>
      </c>
      <c r="V553" s="144">
        <v>41053.9</v>
      </c>
      <c r="W553" s="143">
        <v>3487630</v>
      </c>
    </row>
    <row r="554" spans="21:23">
      <c r="U554" s="144">
        <v>8014.7224120000001</v>
      </c>
      <c r="V554" s="144">
        <v>41053.9</v>
      </c>
      <c r="W554" s="143">
        <v>1435420</v>
      </c>
    </row>
    <row r="555" spans="21:23">
      <c r="U555" s="144">
        <v>10018.422352</v>
      </c>
      <c r="V555" s="144">
        <v>41053.9</v>
      </c>
      <c r="W555" s="143">
        <v>720331</v>
      </c>
    </row>
    <row r="556" spans="21:23">
      <c r="U556" s="144">
        <v>12022.044943999999</v>
      </c>
      <c r="V556" s="144">
        <v>41053.9</v>
      </c>
      <c r="W556" s="143">
        <v>335251</v>
      </c>
    </row>
    <row r="557" spans="21:23">
      <c r="U557" s="144">
        <v>14025.744884</v>
      </c>
      <c r="V557" s="144">
        <v>41053.9</v>
      </c>
      <c r="W557" s="143">
        <v>196141</v>
      </c>
    </row>
    <row r="558" spans="21:23">
      <c r="U558" s="144">
        <v>16029.444824</v>
      </c>
      <c r="V558" s="144">
        <v>41053.9</v>
      </c>
      <c r="W558" s="143">
        <v>150409</v>
      </c>
    </row>
    <row r="559" spans="21:23">
      <c r="U559" s="144">
        <v>18033.144764000001</v>
      </c>
      <c r="V559" s="144">
        <v>41053.9</v>
      </c>
      <c r="W559" s="143">
        <v>71068.7</v>
      </c>
    </row>
    <row r="560" spans="21:23">
      <c r="U560" s="144">
        <v>20036.767356</v>
      </c>
      <c r="V560" s="144">
        <v>41053.9</v>
      </c>
      <c r="W560" s="143">
        <v>44295.9</v>
      </c>
    </row>
    <row r="561" spans="21:23">
      <c r="U561" s="144">
        <v>22040.467295999999</v>
      </c>
      <c r="V561" s="144">
        <v>41053.9</v>
      </c>
      <c r="W561" s="143">
        <v>53329.3</v>
      </c>
    </row>
    <row r="562" spans="21:23">
      <c r="U562" s="144">
        <v>24044.167236000001</v>
      </c>
      <c r="V562" s="144">
        <v>41053.9</v>
      </c>
      <c r="W562" s="143">
        <v>33767.1</v>
      </c>
    </row>
    <row r="563" spans="21:23">
      <c r="U563" s="144">
        <v>26047.789828000001</v>
      </c>
      <c r="V563" s="144">
        <v>41053.9</v>
      </c>
      <c r="W563" s="143">
        <v>22264.1</v>
      </c>
    </row>
    <row r="564" spans="21:23">
      <c r="U564" s="144">
        <v>28051.489767999999</v>
      </c>
      <c r="V564" s="144">
        <v>41053.9</v>
      </c>
      <c r="W564" s="143">
        <v>16344</v>
      </c>
    </row>
    <row r="565" spans="21:23">
      <c r="U565" s="144">
        <v>30055.189708000002</v>
      </c>
      <c r="V565" s="144">
        <v>41053.9</v>
      </c>
      <c r="W565" s="143">
        <v>14152.9</v>
      </c>
    </row>
    <row r="566" spans="21:23">
      <c r="U566" s="144">
        <v>32058.889648</v>
      </c>
      <c r="V566" s="144">
        <v>41053.9</v>
      </c>
      <c r="W566" s="143">
        <v>9083.0400000000009</v>
      </c>
    </row>
    <row r="567" spans="21:23">
      <c r="U567" s="144">
        <v>34062.512239999996</v>
      </c>
      <c r="V567" s="144">
        <v>41053.9</v>
      </c>
      <c r="W567" s="143">
        <v>1572.27</v>
      </c>
    </row>
    <row r="568" spans="21:23">
      <c r="U568" s="144">
        <v>38069.912120000001</v>
      </c>
      <c r="V568" s="144">
        <v>41053.9</v>
      </c>
      <c r="W568" s="143">
        <v>5.0650000000000004</v>
      </c>
    </row>
    <row r="569" spans="21:23">
      <c r="U569" s="144">
        <v>5.5881996300000004E-3</v>
      </c>
      <c r="V569" s="144">
        <v>44374.8</v>
      </c>
      <c r="W569" s="143">
        <v>29038700</v>
      </c>
    </row>
    <row r="570" spans="21:23">
      <c r="U570" s="144">
        <v>2003.6844703999998</v>
      </c>
      <c r="V570" s="144">
        <v>44374.8</v>
      </c>
      <c r="W570" s="143">
        <v>23259700</v>
      </c>
    </row>
    <row r="571" spans="21:23">
      <c r="U571" s="144">
        <v>4007.361206</v>
      </c>
      <c r="V571" s="144">
        <v>44374.8</v>
      </c>
      <c r="W571" s="143">
        <v>10816700</v>
      </c>
    </row>
    <row r="572" spans="21:23">
      <c r="U572" s="144">
        <v>6011.0379415999996</v>
      </c>
      <c r="V572" s="144">
        <v>44374.8</v>
      </c>
      <c r="W572" s="143">
        <v>3492810</v>
      </c>
    </row>
    <row r="573" spans="21:23">
      <c r="U573" s="144">
        <v>8014.7224120000001</v>
      </c>
      <c r="V573" s="144">
        <v>44374.8</v>
      </c>
      <c r="W573" s="143">
        <v>1272310</v>
      </c>
    </row>
    <row r="574" spans="21:23">
      <c r="U574" s="144">
        <v>10018.422352</v>
      </c>
      <c r="V574" s="144">
        <v>44374.8</v>
      </c>
      <c r="W574" s="143">
        <v>614126</v>
      </c>
    </row>
    <row r="575" spans="21:23">
      <c r="U575" s="144">
        <v>12022.044943999999</v>
      </c>
      <c r="V575" s="144">
        <v>44374.8</v>
      </c>
      <c r="W575" s="143">
        <v>296149</v>
      </c>
    </row>
    <row r="576" spans="21:23">
      <c r="U576" s="144">
        <v>14025.744884</v>
      </c>
      <c r="V576" s="144">
        <v>44374.8</v>
      </c>
      <c r="W576" s="143">
        <v>172742</v>
      </c>
    </row>
    <row r="577" spans="21:23">
      <c r="U577" s="144">
        <v>16029.444824</v>
      </c>
      <c r="V577" s="144">
        <v>44374.8</v>
      </c>
      <c r="W577" s="143">
        <v>134689</v>
      </c>
    </row>
    <row r="578" spans="21:23">
      <c r="U578" s="144">
        <v>18033.144764000001</v>
      </c>
      <c r="V578" s="144">
        <v>44374.8</v>
      </c>
      <c r="W578" s="143">
        <v>70850.3</v>
      </c>
    </row>
    <row r="579" spans="21:23">
      <c r="U579" s="144">
        <v>20036.767356</v>
      </c>
      <c r="V579" s="144">
        <v>44374.8</v>
      </c>
      <c r="W579" s="143">
        <v>46949.599999999999</v>
      </c>
    </row>
    <row r="580" spans="21:23">
      <c r="U580" s="144">
        <v>22040.467295999999</v>
      </c>
      <c r="V580" s="144">
        <v>44374.8</v>
      </c>
      <c r="W580" s="143">
        <v>41390.9</v>
      </c>
    </row>
    <row r="581" spans="21:23">
      <c r="U581" s="144">
        <v>24044.167236000001</v>
      </c>
      <c r="V581" s="144">
        <v>44374.8</v>
      </c>
      <c r="W581" s="143">
        <v>25841.1</v>
      </c>
    </row>
    <row r="582" spans="21:23">
      <c r="U582" s="144">
        <v>26047.789828000001</v>
      </c>
      <c r="V582" s="144">
        <v>44374.8</v>
      </c>
      <c r="W582" s="143">
        <v>30044.6</v>
      </c>
    </row>
    <row r="583" spans="21:23">
      <c r="U583" s="144">
        <v>28051.489767999999</v>
      </c>
      <c r="V583" s="144">
        <v>44374.8</v>
      </c>
      <c r="W583" s="143">
        <v>8679.4699999999993</v>
      </c>
    </row>
    <row r="584" spans="21:23">
      <c r="U584" s="144">
        <v>30055.189708000002</v>
      </c>
      <c r="V584" s="144">
        <v>44374.8</v>
      </c>
      <c r="W584" s="143">
        <v>11957.3</v>
      </c>
    </row>
    <row r="585" spans="21:23">
      <c r="U585" s="144">
        <v>32058.889648</v>
      </c>
      <c r="V585" s="144">
        <v>44374.8</v>
      </c>
      <c r="W585" s="143">
        <v>7467.26</v>
      </c>
    </row>
    <row r="586" spans="21:23">
      <c r="U586" s="144">
        <v>34062.512239999996</v>
      </c>
      <c r="V586" s="144">
        <v>44374.8</v>
      </c>
      <c r="W586" s="143">
        <v>42.435000000000002</v>
      </c>
    </row>
    <row r="587" spans="21:23">
      <c r="U587" s="144">
        <v>36066.212180000002</v>
      </c>
      <c r="V587" s="144">
        <v>44374.8</v>
      </c>
      <c r="W587" s="143">
        <v>5.0650000000000004</v>
      </c>
    </row>
    <row r="588" spans="21:23">
      <c r="U588" s="144">
        <v>38069.912120000001</v>
      </c>
      <c r="V588" s="144">
        <v>44374.8</v>
      </c>
      <c r="W588" s="143">
        <v>14.145</v>
      </c>
    </row>
    <row r="589" spans="21:23">
      <c r="U589" s="144">
        <v>5.5881996300000004E-3</v>
      </c>
      <c r="V589" s="144">
        <v>47695.7</v>
      </c>
      <c r="W589" s="143">
        <v>26920300</v>
      </c>
    </row>
    <row r="590" spans="21:23">
      <c r="U590" s="144">
        <v>2003.6844703999998</v>
      </c>
      <c r="V590" s="144">
        <v>47695.7</v>
      </c>
      <c r="W590" s="143">
        <v>22635700</v>
      </c>
    </row>
    <row r="591" spans="21:23">
      <c r="U591" s="144">
        <v>4007.361206</v>
      </c>
      <c r="V591" s="144">
        <v>47695.7</v>
      </c>
      <c r="W591" s="143">
        <v>10031800</v>
      </c>
    </row>
    <row r="592" spans="21:23">
      <c r="U592" s="144">
        <v>6011.0379415999996</v>
      </c>
      <c r="V592" s="144">
        <v>47695.7</v>
      </c>
      <c r="W592" s="143">
        <v>3355320</v>
      </c>
    </row>
    <row r="593" spans="21:23">
      <c r="U593" s="144">
        <v>8014.7224120000001</v>
      </c>
      <c r="V593" s="144">
        <v>47695.7</v>
      </c>
      <c r="W593" s="143">
        <v>1006150</v>
      </c>
    </row>
    <row r="594" spans="21:23">
      <c r="U594" s="144">
        <v>10018.422352</v>
      </c>
      <c r="V594" s="144">
        <v>47695.7</v>
      </c>
      <c r="W594" s="143">
        <v>456442</v>
      </c>
    </row>
    <row r="595" spans="21:23">
      <c r="U595" s="144">
        <v>12022.044943999999</v>
      </c>
      <c r="V595" s="144">
        <v>47695.7</v>
      </c>
      <c r="W595" s="143">
        <v>216905</v>
      </c>
    </row>
    <row r="596" spans="21:23">
      <c r="U596" s="144">
        <v>14025.744884</v>
      </c>
      <c r="V596" s="144">
        <v>47695.7</v>
      </c>
      <c r="W596" s="143">
        <v>131703</v>
      </c>
    </row>
    <row r="597" spans="21:23">
      <c r="U597" s="144">
        <v>16029.444824</v>
      </c>
      <c r="V597" s="144">
        <v>47695.7</v>
      </c>
      <c r="W597" s="143">
        <v>58487.8</v>
      </c>
    </row>
    <row r="598" spans="21:23">
      <c r="U598" s="144">
        <v>18033.144764000001</v>
      </c>
      <c r="V598" s="144">
        <v>47695.7</v>
      </c>
      <c r="W598" s="143">
        <v>101380</v>
      </c>
    </row>
    <row r="599" spans="21:23">
      <c r="U599" s="144">
        <v>20036.767356</v>
      </c>
      <c r="V599" s="144">
        <v>47695.7</v>
      </c>
      <c r="W599" s="143">
        <v>41271</v>
      </c>
    </row>
    <row r="600" spans="21:23">
      <c r="U600" s="144">
        <v>22040.467295999999</v>
      </c>
      <c r="V600" s="144">
        <v>47695.7</v>
      </c>
      <c r="W600" s="143">
        <v>53589.8</v>
      </c>
    </row>
    <row r="601" spans="21:23">
      <c r="U601" s="144">
        <v>24044.167236000001</v>
      </c>
      <c r="V601" s="144">
        <v>47695.7</v>
      </c>
      <c r="W601" s="143">
        <v>16062</v>
      </c>
    </row>
    <row r="602" spans="21:23">
      <c r="U602" s="144">
        <v>26047.789828000001</v>
      </c>
      <c r="V602" s="144">
        <v>47695.7</v>
      </c>
      <c r="W602" s="143">
        <v>16590.7</v>
      </c>
    </row>
    <row r="603" spans="21:23">
      <c r="U603" s="144">
        <v>28051.489767999999</v>
      </c>
      <c r="V603" s="144">
        <v>47695.7</v>
      </c>
      <c r="W603" s="143">
        <v>14.145</v>
      </c>
    </row>
    <row r="604" spans="21:23">
      <c r="U604" s="144">
        <v>5.5881996300000004E-3</v>
      </c>
      <c r="V604" s="144">
        <v>51016.6</v>
      </c>
      <c r="W604" s="143">
        <v>25748300</v>
      </c>
    </row>
    <row r="605" spans="21:23">
      <c r="U605" s="144">
        <v>2003.6844703999998</v>
      </c>
      <c r="V605" s="144">
        <v>51016.6</v>
      </c>
      <c r="W605" s="143">
        <v>21095100</v>
      </c>
    </row>
    <row r="606" spans="21:23">
      <c r="U606" s="144">
        <v>4007.361206</v>
      </c>
      <c r="V606" s="144">
        <v>51016.6</v>
      </c>
      <c r="W606" s="143">
        <v>11239400</v>
      </c>
    </row>
    <row r="607" spans="21:23">
      <c r="U607" s="144">
        <v>6011.0379415999996</v>
      </c>
      <c r="V607" s="144">
        <v>51016.6</v>
      </c>
      <c r="W607" s="143">
        <v>3493460</v>
      </c>
    </row>
    <row r="608" spans="21:23">
      <c r="U608" s="144">
        <v>8014.7224120000001</v>
      </c>
      <c r="V608" s="144">
        <v>51016.6</v>
      </c>
      <c r="W608" s="143">
        <v>1323290</v>
      </c>
    </row>
    <row r="609" spans="21:23">
      <c r="U609" s="144">
        <v>10018.422352</v>
      </c>
      <c r="V609" s="144">
        <v>51016.6</v>
      </c>
      <c r="W609" s="143">
        <v>429880</v>
      </c>
    </row>
    <row r="610" spans="21:23">
      <c r="U610" s="144">
        <v>12022.044943999999</v>
      </c>
      <c r="V610" s="144">
        <v>51016.6</v>
      </c>
      <c r="W610" s="143">
        <v>317769</v>
      </c>
    </row>
    <row r="611" spans="21:23">
      <c r="U611" s="144">
        <v>14025.744884</v>
      </c>
      <c r="V611" s="144">
        <v>51016.6</v>
      </c>
      <c r="W611" s="143">
        <v>168553</v>
      </c>
    </row>
    <row r="612" spans="21:23">
      <c r="U612" s="144">
        <v>16029.444824</v>
      </c>
      <c r="V612" s="144">
        <v>51016.6</v>
      </c>
      <c r="W612" s="143">
        <v>89978.3</v>
      </c>
    </row>
    <row r="613" spans="21:23">
      <c r="U613" s="144">
        <v>18033.144764000001</v>
      </c>
      <c r="V613" s="144">
        <v>51016.6</v>
      </c>
      <c r="W613" s="143">
        <v>50752.6</v>
      </c>
    </row>
    <row r="614" spans="21:23">
      <c r="U614" s="144">
        <v>20036.767356</v>
      </c>
      <c r="V614" s="144">
        <v>51016.6</v>
      </c>
      <c r="W614" s="143">
        <v>17728.5</v>
      </c>
    </row>
    <row r="615" spans="21:23">
      <c r="U615" s="144">
        <v>22040.467295999999</v>
      </c>
      <c r="V615" s="144">
        <v>51016.6</v>
      </c>
      <c r="W615" s="143">
        <v>18998.2</v>
      </c>
    </row>
    <row r="616" spans="21:23">
      <c r="U616" s="144">
        <v>24044.167236000001</v>
      </c>
      <c r="V616" s="144">
        <v>51016.6</v>
      </c>
      <c r="W616" s="143">
        <v>4030.88</v>
      </c>
    </row>
    <row r="617" spans="21:23">
      <c r="U617" s="144">
        <v>5.5881996300000004E-3</v>
      </c>
      <c r="V617" s="144">
        <v>54337.5</v>
      </c>
      <c r="W617" s="143">
        <v>34977500</v>
      </c>
    </row>
    <row r="618" spans="21:23">
      <c r="U618" s="144">
        <v>2003.6844703999998</v>
      </c>
      <c r="V618" s="144">
        <v>54337.5</v>
      </c>
      <c r="W618" s="143">
        <v>32038800</v>
      </c>
    </row>
    <row r="619" spans="21:23">
      <c r="U619" s="144">
        <v>4007.361206</v>
      </c>
      <c r="V619" s="144">
        <v>54337.5</v>
      </c>
      <c r="W619" s="143">
        <v>14378600</v>
      </c>
    </row>
    <row r="620" spans="21:23">
      <c r="U620" s="144">
        <v>6011.0379415999996</v>
      </c>
      <c r="V620" s="144">
        <v>54337.5</v>
      </c>
      <c r="W620" s="143">
        <v>4451860</v>
      </c>
    </row>
    <row r="621" spans="21:23">
      <c r="U621" s="144">
        <v>8014.7224120000001</v>
      </c>
      <c r="V621" s="144">
        <v>54337.5</v>
      </c>
      <c r="W621" s="143">
        <v>1330020</v>
      </c>
    </row>
    <row r="622" spans="21:23">
      <c r="U622" s="144">
        <v>10018.422352</v>
      </c>
      <c r="V622" s="144">
        <v>54337.5</v>
      </c>
      <c r="W622" s="143">
        <v>516023</v>
      </c>
    </row>
    <row r="623" spans="21:23">
      <c r="U623" s="144">
        <v>12022.044943999999</v>
      </c>
      <c r="V623" s="144">
        <v>54337.5</v>
      </c>
      <c r="W623" s="143">
        <v>167445</v>
      </c>
    </row>
    <row r="624" spans="21:23">
      <c r="U624" s="144">
        <v>14025.744884</v>
      </c>
      <c r="V624" s="144">
        <v>54337.5</v>
      </c>
      <c r="W624" s="143">
        <v>89651.4</v>
      </c>
    </row>
    <row r="625" spans="21:23">
      <c r="U625" s="144">
        <v>16029.444824</v>
      </c>
      <c r="V625" s="144">
        <v>54337.5</v>
      </c>
      <c r="W625" s="143">
        <v>16011.6</v>
      </c>
    </row>
    <row r="626" spans="21:23">
      <c r="U626" s="144">
        <v>18033.144764000001</v>
      </c>
      <c r="V626" s="144">
        <v>54337.5</v>
      </c>
      <c r="W626" s="143">
        <v>11007.6</v>
      </c>
    </row>
    <row r="627" spans="21:23">
      <c r="U627" s="144">
        <v>5.5881996300000004E-3</v>
      </c>
      <c r="V627" s="144">
        <v>57658.5</v>
      </c>
      <c r="W627" s="143">
        <v>8798450</v>
      </c>
    </row>
    <row r="628" spans="21:23">
      <c r="U628" s="144">
        <v>2003.6844703999998</v>
      </c>
      <c r="V628" s="144">
        <v>57658.5</v>
      </c>
      <c r="W628" s="143">
        <v>6774130</v>
      </c>
    </row>
    <row r="629" spans="21:23">
      <c r="U629" s="144">
        <v>4007.361206</v>
      </c>
      <c r="V629" s="144">
        <v>57658.5</v>
      </c>
      <c r="W629" s="143">
        <v>3144150</v>
      </c>
    </row>
    <row r="630" spans="21:23">
      <c r="U630" s="144">
        <v>6011.0379415999996</v>
      </c>
      <c r="V630" s="144">
        <v>57658.5</v>
      </c>
      <c r="W630" s="143">
        <v>773091</v>
      </c>
    </row>
    <row r="631" spans="21:23">
      <c r="U631" s="144">
        <v>8014.7224120000001</v>
      </c>
      <c r="V631" s="144">
        <v>57658.5</v>
      </c>
      <c r="W631" s="143">
        <v>207688</v>
      </c>
    </row>
    <row r="632" spans="21:23">
      <c r="U632" s="144">
        <v>10018.422352</v>
      </c>
      <c r="V632" s="144">
        <v>57658.5</v>
      </c>
      <c r="W632" s="143">
        <v>42247.4</v>
      </c>
    </row>
    <row r="633" spans="21:23">
      <c r="U633" s="144">
        <v>12022.044943999999</v>
      </c>
      <c r="V633" s="144">
        <v>57658.5</v>
      </c>
      <c r="W633" s="143">
        <v>132.845</v>
      </c>
    </row>
    <row r="634" spans="21:23">
      <c r="U634" s="144">
        <v>16029.444824</v>
      </c>
      <c r="V634" s="144">
        <v>57658.5</v>
      </c>
      <c r="W634" s="143">
        <v>0.505</v>
      </c>
    </row>
    <row r="635" spans="21:23">
      <c r="U635" s="144">
        <v>5.5881996300000004E-3</v>
      </c>
      <c r="V635" s="144">
        <v>60979.4</v>
      </c>
      <c r="W635" s="143">
        <v>429936</v>
      </c>
    </row>
    <row r="636" spans="21:23">
      <c r="U636" s="144">
        <v>2003.6844703999998</v>
      </c>
      <c r="V636" s="144">
        <v>60979.4</v>
      </c>
      <c r="W636" s="143">
        <v>259500</v>
      </c>
    </row>
    <row r="637" spans="21:23">
      <c r="U637" s="144">
        <v>4007.361206</v>
      </c>
      <c r="V637" s="144">
        <v>60979.4</v>
      </c>
      <c r="W637" s="143">
        <v>62188.3</v>
      </c>
    </row>
    <row r="638" spans="21:23">
      <c r="U638" s="144">
        <v>6011.0379415999996</v>
      </c>
      <c r="V638" s="144">
        <v>60979.4</v>
      </c>
      <c r="W638" s="143">
        <v>22306.7</v>
      </c>
    </row>
    <row r="639" spans="21:23">
      <c r="U639" s="144">
        <v>8014.7224120000001</v>
      </c>
      <c r="V639" s="144">
        <v>60979.4</v>
      </c>
      <c r="W639" s="143">
        <v>12997.4</v>
      </c>
    </row>
    <row r="640" spans="21:23">
      <c r="U640" s="144">
        <v>5.5881996300000004E-3</v>
      </c>
      <c r="V640" s="144">
        <v>64300.3</v>
      </c>
      <c r="W640" s="143">
        <v>6.29</v>
      </c>
    </row>
    <row r="641" spans="21:23">
      <c r="U641" s="144">
        <v>0</v>
      </c>
      <c r="V641" s="144">
        <v>0</v>
      </c>
      <c r="W641" s="143">
        <v>0</v>
      </c>
    </row>
    <row r="642" spans="21:23">
      <c r="U642" s="144">
        <v>0</v>
      </c>
      <c r="V642" s="144">
        <v>0</v>
      </c>
      <c r="W642" s="143">
        <v>0</v>
      </c>
    </row>
    <row r="643" spans="21:23">
      <c r="U643" s="144">
        <v>0</v>
      </c>
      <c r="V643" s="144">
        <v>0</v>
      </c>
      <c r="W643" s="143">
        <v>0</v>
      </c>
    </row>
    <row r="644" spans="21:23">
      <c r="U644" s="144">
        <v>0</v>
      </c>
      <c r="V644" s="144">
        <v>0</v>
      </c>
      <c r="W644" s="143">
        <v>0</v>
      </c>
    </row>
    <row r="645" spans="21:23">
      <c r="U645" s="144">
        <v>0</v>
      </c>
      <c r="V645" s="144">
        <v>0</v>
      </c>
      <c r="W645" s="143">
        <v>0</v>
      </c>
    </row>
    <row r="646" spans="21:23">
      <c r="U646" s="144">
        <v>0</v>
      </c>
      <c r="V646" s="144">
        <v>0</v>
      </c>
      <c r="W646" s="143">
        <v>0</v>
      </c>
    </row>
    <row r="647" spans="21:23">
      <c r="U647" s="144">
        <v>0</v>
      </c>
      <c r="V647" s="144">
        <v>0</v>
      </c>
      <c r="W647" s="143">
        <v>0</v>
      </c>
    </row>
    <row r="648" spans="21:23">
      <c r="U648" s="144">
        <v>0</v>
      </c>
      <c r="V648" s="144">
        <v>0</v>
      </c>
      <c r="W648" s="143">
        <v>0</v>
      </c>
    </row>
    <row r="649" spans="21:23">
      <c r="U649" s="144">
        <v>0</v>
      </c>
      <c r="V649" s="144">
        <v>0</v>
      </c>
      <c r="W649" s="143">
        <v>0</v>
      </c>
    </row>
    <row r="650" spans="21:23">
      <c r="U650" s="144">
        <v>0</v>
      </c>
      <c r="V650" s="144">
        <v>0</v>
      </c>
      <c r="W650" s="143">
        <v>0</v>
      </c>
    </row>
    <row r="651" spans="21:23">
      <c r="U651" s="144">
        <v>0</v>
      </c>
      <c r="V651" s="144">
        <v>0</v>
      </c>
      <c r="W651" s="143">
        <v>0</v>
      </c>
    </row>
    <row r="652" spans="21:23">
      <c r="U652" s="144">
        <v>0</v>
      </c>
      <c r="V652" s="144">
        <v>0</v>
      </c>
      <c r="W652" s="143">
        <v>0</v>
      </c>
    </row>
    <row r="653" spans="21:23">
      <c r="U653" s="144">
        <v>0</v>
      </c>
      <c r="V653" s="144">
        <v>0</v>
      </c>
      <c r="W653" s="143">
        <v>0</v>
      </c>
    </row>
    <row r="654" spans="21:23">
      <c r="U654" s="144">
        <v>0</v>
      </c>
      <c r="V654" s="144">
        <v>0</v>
      </c>
      <c r="W654" s="143">
        <v>0</v>
      </c>
    </row>
    <row r="655" spans="21:23">
      <c r="U655" s="144">
        <v>0</v>
      </c>
      <c r="V655" s="144">
        <v>0</v>
      </c>
      <c r="W655" s="143">
        <v>0</v>
      </c>
    </row>
    <row r="656" spans="21:23">
      <c r="U656" s="144">
        <v>0</v>
      </c>
      <c r="V656" s="144">
        <v>0</v>
      </c>
      <c r="W656" s="143">
        <v>0</v>
      </c>
    </row>
    <row r="657" spans="21:23">
      <c r="U657" s="144">
        <v>0</v>
      </c>
      <c r="V657" s="144">
        <v>0</v>
      </c>
      <c r="W657" s="143">
        <v>0</v>
      </c>
    </row>
    <row r="658" spans="21:23">
      <c r="U658" s="144">
        <v>0</v>
      </c>
      <c r="V658" s="144">
        <v>0</v>
      </c>
      <c r="W658" s="143">
        <v>0</v>
      </c>
    </row>
    <row r="659" spans="21:23">
      <c r="U659" s="144">
        <v>0</v>
      </c>
      <c r="V659" s="144">
        <v>0</v>
      </c>
      <c r="W659" s="143">
        <v>0</v>
      </c>
    </row>
    <row r="660" spans="21:23">
      <c r="U660" s="144">
        <v>0</v>
      </c>
      <c r="V660" s="144">
        <v>0</v>
      </c>
      <c r="W660" s="143">
        <v>0</v>
      </c>
    </row>
    <row r="661" spans="21:23">
      <c r="U661" s="144">
        <v>0</v>
      </c>
      <c r="V661" s="144">
        <v>0</v>
      </c>
      <c r="W661" s="143">
        <v>0</v>
      </c>
    </row>
    <row r="662" spans="21:23">
      <c r="U662" s="144">
        <v>0</v>
      </c>
      <c r="V662" s="144">
        <v>0</v>
      </c>
      <c r="W662" s="143">
        <v>0</v>
      </c>
    </row>
    <row r="663" spans="21:23">
      <c r="U663" s="144">
        <v>0</v>
      </c>
      <c r="V663" s="144">
        <v>0</v>
      </c>
      <c r="W663" s="143">
        <v>0</v>
      </c>
    </row>
    <row r="664" spans="21:23">
      <c r="U664" s="144">
        <v>0</v>
      </c>
      <c r="V664" s="144">
        <v>0</v>
      </c>
      <c r="W664" s="143">
        <v>0</v>
      </c>
    </row>
    <row r="665" spans="21:23">
      <c r="U665" s="144">
        <v>0</v>
      </c>
      <c r="V665" s="144">
        <v>0</v>
      </c>
      <c r="W665" s="143">
        <v>0</v>
      </c>
    </row>
    <row r="666" spans="21:23">
      <c r="U666" s="144">
        <v>0</v>
      </c>
      <c r="V666" s="144">
        <v>0</v>
      </c>
      <c r="W666" s="143">
        <v>0</v>
      </c>
    </row>
    <row r="667" spans="21:23">
      <c r="U667" s="144">
        <v>0</v>
      </c>
      <c r="V667" s="144">
        <v>0</v>
      </c>
      <c r="W667" s="143">
        <v>0</v>
      </c>
    </row>
    <row r="668" spans="21:23">
      <c r="U668" s="144">
        <v>0</v>
      </c>
      <c r="V668" s="144">
        <v>0</v>
      </c>
      <c r="W668" s="143">
        <v>0</v>
      </c>
    </row>
    <row r="669" spans="21:23">
      <c r="U669" s="144">
        <v>0</v>
      </c>
      <c r="V669" s="144">
        <v>0</v>
      </c>
      <c r="W669" s="143">
        <v>0</v>
      </c>
    </row>
    <row r="670" spans="21:23">
      <c r="U670" s="144">
        <v>0</v>
      </c>
      <c r="V670" s="144">
        <v>0</v>
      </c>
      <c r="W670" s="143">
        <v>0</v>
      </c>
    </row>
    <row r="671" spans="21:23">
      <c r="U671" s="144">
        <v>0</v>
      </c>
      <c r="V671" s="144">
        <v>0</v>
      </c>
      <c r="W671" s="143">
        <v>0</v>
      </c>
    </row>
    <row r="672" spans="21:23">
      <c r="U672" s="144">
        <v>0</v>
      </c>
      <c r="V672" s="144">
        <v>0</v>
      </c>
      <c r="W672" s="143">
        <v>0</v>
      </c>
    </row>
    <row r="673" spans="21:23">
      <c r="U673" s="144">
        <v>0</v>
      </c>
      <c r="V673" s="144">
        <v>0</v>
      </c>
      <c r="W673" s="143">
        <v>0</v>
      </c>
    </row>
    <row r="674" spans="21:23">
      <c r="U674" s="144">
        <v>0</v>
      </c>
      <c r="V674" s="144">
        <v>0</v>
      </c>
      <c r="W674" s="143">
        <v>0</v>
      </c>
    </row>
    <row r="675" spans="21:23">
      <c r="U675" s="144">
        <v>0</v>
      </c>
      <c r="V675" s="144">
        <v>0</v>
      </c>
      <c r="W675" s="143">
        <v>0</v>
      </c>
    </row>
    <row r="676" spans="21:23">
      <c r="U676" s="144">
        <v>0</v>
      </c>
      <c r="V676" s="144">
        <v>0</v>
      </c>
      <c r="W676" s="143">
        <v>0</v>
      </c>
    </row>
    <row r="677" spans="21:23">
      <c r="U677" s="144">
        <v>0</v>
      </c>
      <c r="V677" s="144">
        <v>0</v>
      </c>
      <c r="W677" s="143">
        <v>0</v>
      </c>
    </row>
    <row r="678" spans="21:23">
      <c r="U678" s="144">
        <v>0</v>
      </c>
      <c r="V678" s="144">
        <v>0</v>
      </c>
      <c r="W678" s="143">
        <v>0</v>
      </c>
    </row>
    <row r="679" spans="21:23">
      <c r="U679" s="144">
        <v>0</v>
      </c>
      <c r="V679" s="144">
        <v>0</v>
      </c>
      <c r="W679" s="143">
        <v>0</v>
      </c>
    </row>
    <row r="680" spans="21:23">
      <c r="U680" s="144">
        <v>0</v>
      </c>
      <c r="V680" s="144">
        <v>0</v>
      </c>
      <c r="W680" s="143">
        <v>0</v>
      </c>
    </row>
    <row r="681" spans="21:23">
      <c r="U681" s="144">
        <v>0</v>
      </c>
      <c r="V681" s="144">
        <v>0</v>
      </c>
      <c r="W681" s="143">
        <v>0</v>
      </c>
    </row>
    <row r="682" spans="21:23">
      <c r="U682" s="144">
        <v>0</v>
      </c>
      <c r="V682" s="144">
        <v>0</v>
      </c>
      <c r="W682" s="143">
        <v>0</v>
      </c>
    </row>
    <row r="683" spans="21:23">
      <c r="U683" s="144">
        <v>0</v>
      </c>
      <c r="V683" s="144">
        <v>0</v>
      </c>
      <c r="W683" s="143">
        <v>0</v>
      </c>
    </row>
    <row r="684" spans="21:23">
      <c r="U684" s="144">
        <v>0</v>
      </c>
      <c r="V684" s="144">
        <v>0</v>
      </c>
      <c r="W684" s="143">
        <v>0</v>
      </c>
    </row>
    <row r="685" spans="21:23">
      <c r="U685" s="144">
        <v>0</v>
      </c>
      <c r="V685" s="144">
        <v>0</v>
      </c>
      <c r="W685" s="143">
        <v>0</v>
      </c>
    </row>
    <row r="686" spans="21:23">
      <c r="U686" s="144">
        <v>0</v>
      </c>
      <c r="V686" s="144">
        <v>0</v>
      </c>
      <c r="W686" s="143">
        <v>0</v>
      </c>
    </row>
    <row r="687" spans="21:23">
      <c r="U687" s="144">
        <v>0</v>
      </c>
      <c r="V687" s="144">
        <v>0</v>
      </c>
      <c r="W687" s="143">
        <v>0</v>
      </c>
    </row>
    <row r="688" spans="21:23">
      <c r="U688" s="144">
        <v>0</v>
      </c>
      <c r="V688" s="144">
        <v>0</v>
      </c>
      <c r="W688" s="143">
        <v>0</v>
      </c>
    </row>
    <row r="689" spans="21:23">
      <c r="U689" s="144">
        <v>0</v>
      </c>
      <c r="V689" s="144">
        <v>0</v>
      </c>
      <c r="W689" s="143">
        <v>0</v>
      </c>
    </row>
    <row r="690" spans="21:23">
      <c r="U690" s="144">
        <v>0</v>
      </c>
      <c r="V690" s="144">
        <v>0</v>
      </c>
      <c r="W690" s="143">
        <v>0</v>
      </c>
    </row>
    <row r="691" spans="21:23">
      <c r="U691" s="144">
        <v>0</v>
      </c>
      <c r="V691" s="144">
        <v>0</v>
      </c>
      <c r="W691" s="143">
        <v>0</v>
      </c>
    </row>
    <row r="692" spans="21:23">
      <c r="U692" s="144">
        <v>0</v>
      </c>
      <c r="V692" s="144">
        <v>0</v>
      </c>
      <c r="W692" s="143">
        <v>0</v>
      </c>
    </row>
    <row r="693" spans="21:23">
      <c r="U693" s="144">
        <v>0</v>
      </c>
      <c r="V693" s="144">
        <v>0</v>
      </c>
      <c r="W693" s="143">
        <v>0</v>
      </c>
    </row>
    <row r="694" spans="21:23">
      <c r="U694" s="144">
        <v>0</v>
      </c>
      <c r="V694" s="144">
        <v>0</v>
      </c>
      <c r="W694" s="143">
        <v>0</v>
      </c>
    </row>
    <row r="695" spans="21:23">
      <c r="U695" s="144">
        <v>0</v>
      </c>
      <c r="V695" s="144">
        <v>0</v>
      </c>
      <c r="W695" s="143">
        <v>0</v>
      </c>
    </row>
    <row r="696" spans="21:23">
      <c r="U696" s="144">
        <v>0</v>
      </c>
      <c r="V696" s="144">
        <v>0</v>
      </c>
      <c r="W696" s="143">
        <v>0</v>
      </c>
    </row>
    <row r="697" spans="21:23">
      <c r="U697" s="144">
        <v>0</v>
      </c>
      <c r="V697" s="144">
        <v>0</v>
      </c>
      <c r="W697" s="143">
        <v>0</v>
      </c>
    </row>
    <row r="698" spans="21:23">
      <c r="U698" s="144">
        <v>0</v>
      </c>
      <c r="V698" s="144">
        <v>0</v>
      </c>
      <c r="W698" s="143">
        <v>0</v>
      </c>
    </row>
    <row r="699" spans="21:23">
      <c r="U699" s="144">
        <v>0</v>
      </c>
      <c r="V699" s="144">
        <v>0</v>
      </c>
      <c r="W699" s="143">
        <v>0</v>
      </c>
    </row>
    <row r="700" spans="21:23">
      <c r="U700" s="144">
        <v>0</v>
      </c>
      <c r="V700" s="144">
        <v>0</v>
      </c>
      <c r="W700" s="143">
        <v>0</v>
      </c>
    </row>
    <row r="701" spans="21:23">
      <c r="U701" s="144">
        <v>0</v>
      </c>
      <c r="V701" s="144">
        <v>0</v>
      </c>
      <c r="W701" s="143">
        <v>0</v>
      </c>
    </row>
    <row r="702" spans="21:23">
      <c r="U702" s="144">
        <v>0</v>
      </c>
      <c r="V702" s="144">
        <v>0</v>
      </c>
      <c r="W702" s="143">
        <v>0</v>
      </c>
    </row>
    <row r="703" spans="21:23">
      <c r="U703" s="144">
        <v>0</v>
      </c>
      <c r="V703" s="144">
        <v>0</v>
      </c>
      <c r="W703" s="143">
        <v>0</v>
      </c>
    </row>
    <row r="704" spans="21:23">
      <c r="U704" s="144">
        <v>0</v>
      </c>
      <c r="V704" s="144">
        <v>0</v>
      </c>
      <c r="W704" s="143">
        <v>0</v>
      </c>
    </row>
    <row r="705" spans="21:23">
      <c r="U705" s="144">
        <v>0</v>
      </c>
      <c r="V705" s="144">
        <v>0</v>
      </c>
      <c r="W705" s="143">
        <v>0</v>
      </c>
    </row>
    <row r="706" spans="21:23">
      <c r="U706" s="144">
        <v>0</v>
      </c>
      <c r="V706" s="144">
        <v>0</v>
      </c>
      <c r="W706" s="143">
        <v>0</v>
      </c>
    </row>
    <row r="707" spans="21:23">
      <c r="U707" s="144">
        <v>0</v>
      </c>
      <c r="V707" s="144">
        <v>0</v>
      </c>
      <c r="W707" s="143">
        <v>0</v>
      </c>
    </row>
    <row r="708" spans="21:23">
      <c r="U708" s="144">
        <v>0</v>
      </c>
      <c r="V708" s="144">
        <v>0</v>
      </c>
      <c r="W708" s="143">
        <v>0</v>
      </c>
    </row>
    <row r="709" spans="21:23">
      <c r="U709" s="144">
        <v>0</v>
      </c>
      <c r="V709" s="144">
        <v>0</v>
      </c>
      <c r="W709" s="143">
        <v>0</v>
      </c>
    </row>
    <row r="710" spans="21:23">
      <c r="U710" s="144">
        <v>0</v>
      </c>
      <c r="V710" s="144">
        <v>0</v>
      </c>
      <c r="W710" s="143">
        <v>0</v>
      </c>
    </row>
    <row r="711" spans="21:23">
      <c r="U711" s="144">
        <v>0</v>
      </c>
      <c r="V711" s="144">
        <v>0</v>
      </c>
      <c r="W711" s="143">
        <v>0</v>
      </c>
    </row>
    <row r="712" spans="21:23">
      <c r="U712" s="144">
        <v>0</v>
      </c>
      <c r="V712" s="144">
        <v>0</v>
      </c>
      <c r="W712" s="143">
        <v>0</v>
      </c>
    </row>
    <row r="713" spans="21:23">
      <c r="U713" s="144">
        <v>0</v>
      </c>
      <c r="V713" s="144">
        <v>0</v>
      </c>
      <c r="W713" s="143">
        <v>0</v>
      </c>
    </row>
    <row r="714" spans="21:23">
      <c r="U714" s="144">
        <v>0</v>
      </c>
      <c r="V714" s="144">
        <v>0</v>
      </c>
      <c r="W714" s="143">
        <v>0</v>
      </c>
    </row>
    <row r="715" spans="21:23">
      <c r="U715" s="144">
        <v>0</v>
      </c>
      <c r="V715" s="144">
        <v>0</v>
      </c>
      <c r="W715" s="143">
        <v>0</v>
      </c>
    </row>
    <row r="716" spans="21:23">
      <c r="U716" s="144">
        <v>0</v>
      </c>
      <c r="V716" s="144">
        <v>0</v>
      </c>
      <c r="W716" s="143">
        <v>0</v>
      </c>
    </row>
    <row r="717" spans="21:23">
      <c r="U717" s="144">
        <v>0</v>
      </c>
      <c r="V717" s="144">
        <v>0</v>
      </c>
      <c r="W717" s="143">
        <v>0</v>
      </c>
    </row>
    <row r="718" spans="21:23">
      <c r="U718" s="144">
        <v>0</v>
      </c>
      <c r="V718" s="144">
        <v>0</v>
      </c>
      <c r="W718" s="143">
        <v>0</v>
      </c>
    </row>
    <row r="719" spans="21:23">
      <c r="U719" s="144">
        <v>0</v>
      </c>
      <c r="V719" s="144">
        <v>0</v>
      </c>
      <c r="W719" s="143">
        <v>0</v>
      </c>
    </row>
    <row r="720" spans="21:23">
      <c r="U720" s="144">
        <v>0</v>
      </c>
      <c r="V720" s="144">
        <v>0</v>
      </c>
      <c r="W720" s="143">
        <v>0</v>
      </c>
    </row>
    <row r="721" spans="21:23">
      <c r="U721" s="144">
        <v>0</v>
      </c>
      <c r="V721" s="144">
        <v>0</v>
      </c>
      <c r="W721" s="143">
        <v>0</v>
      </c>
    </row>
    <row r="722" spans="21:23">
      <c r="U722" s="144">
        <v>0</v>
      </c>
      <c r="V722" s="144">
        <v>0</v>
      </c>
      <c r="W722" s="143">
        <v>0</v>
      </c>
    </row>
    <row r="723" spans="21:23">
      <c r="U723" s="144">
        <v>0</v>
      </c>
      <c r="V723" s="144">
        <v>0</v>
      </c>
      <c r="W723" s="143">
        <v>0</v>
      </c>
    </row>
    <row r="724" spans="21:23">
      <c r="U724" s="144">
        <v>0</v>
      </c>
      <c r="V724" s="144">
        <v>0</v>
      </c>
      <c r="W724" s="143">
        <v>0</v>
      </c>
    </row>
    <row r="725" spans="21:23">
      <c r="U725" s="144">
        <v>0</v>
      </c>
      <c r="V725" s="144">
        <v>0</v>
      </c>
      <c r="W725" s="143">
        <v>0</v>
      </c>
    </row>
    <row r="726" spans="21:23">
      <c r="U726" s="144">
        <v>0</v>
      </c>
      <c r="V726" s="144">
        <v>0</v>
      </c>
      <c r="W726" s="143">
        <v>0</v>
      </c>
    </row>
    <row r="727" spans="21:23">
      <c r="U727" s="144">
        <v>0</v>
      </c>
      <c r="V727" s="144">
        <v>0</v>
      </c>
      <c r="W727" s="143">
        <v>0</v>
      </c>
    </row>
    <row r="728" spans="21:23">
      <c r="U728" s="144">
        <v>0</v>
      </c>
      <c r="V728" s="144">
        <v>0</v>
      </c>
      <c r="W728" s="143">
        <v>0</v>
      </c>
    </row>
    <row r="729" spans="21:23">
      <c r="U729" s="144">
        <v>0</v>
      </c>
      <c r="V729" s="144">
        <v>0</v>
      </c>
      <c r="W729" s="143">
        <v>0</v>
      </c>
    </row>
    <row r="730" spans="21:23">
      <c r="U730" s="144">
        <v>0</v>
      </c>
      <c r="V730" s="144">
        <v>0</v>
      </c>
      <c r="W730" s="143">
        <v>0</v>
      </c>
    </row>
    <row r="731" spans="21:23">
      <c r="U731" s="144">
        <v>0</v>
      </c>
      <c r="V731" s="144">
        <v>0</v>
      </c>
      <c r="W731" s="143">
        <v>0</v>
      </c>
    </row>
    <row r="732" spans="21:23">
      <c r="U732" s="144">
        <v>0</v>
      </c>
      <c r="V732" s="144">
        <v>0</v>
      </c>
      <c r="W732" s="143">
        <v>0</v>
      </c>
    </row>
    <row r="733" spans="21:23">
      <c r="U733" s="144">
        <v>0</v>
      </c>
      <c r="V733" s="144">
        <v>0</v>
      </c>
      <c r="W733" s="143">
        <v>0</v>
      </c>
    </row>
    <row r="734" spans="21:23">
      <c r="U734" s="144">
        <v>0</v>
      </c>
      <c r="V734" s="144">
        <v>0</v>
      </c>
      <c r="W734" s="143">
        <v>0</v>
      </c>
    </row>
    <row r="735" spans="21:23">
      <c r="U735" s="144">
        <v>0</v>
      </c>
      <c r="V735" s="144">
        <v>0</v>
      </c>
      <c r="W735" s="143">
        <v>0</v>
      </c>
    </row>
    <row r="736" spans="21:23">
      <c r="U736" s="144">
        <v>0</v>
      </c>
      <c r="V736" s="144">
        <v>0</v>
      </c>
      <c r="W736" s="143">
        <v>0</v>
      </c>
    </row>
    <row r="737" spans="21:23">
      <c r="U737" s="144">
        <v>0</v>
      </c>
      <c r="V737" s="144">
        <v>0</v>
      </c>
      <c r="W737" s="143">
        <v>0</v>
      </c>
    </row>
    <row r="738" spans="21:23">
      <c r="U738" s="144">
        <v>0</v>
      </c>
      <c r="V738" s="144">
        <v>0</v>
      </c>
      <c r="W738" s="143">
        <v>0</v>
      </c>
    </row>
    <row r="739" spans="21:23">
      <c r="U739" s="144">
        <v>0</v>
      </c>
      <c r="V739" s="144">
        <v>0</v>
      </c>
      <c r="W739" s="143">
        <v>0</v>
      </c>
    </row>
    <row r="740" spans="21:23">
      <c r="U740" s="144">
        <v>0</v>
      </c>
      <c r="V740" s="144">
        <v>0</v>
      </c>
      <c r="W740" s="143">
        <v>0</v>
      </c>
    </row>
    <row r="741" spans="21:23">
      <c r="U741" s="144">
        <v>0</v>
      </c>
      <c r="V741" s="144">
        <v>0</v>
      </c>
      <c r="W741" s="143">
        <v>0</v>
      </c>
    </row>
    <row r="742" spans="21:23">
      <c r="U742" s="144">
        <v>0</v>
      </c>
      <c r="V742" s="144">
        <v>0</v>
      </c>
      <c r="W742" s="143">
        <v>0</v>
      </c>
    </row>
    <row r="743" spans="21:23">
      <c r="U743" s="144">
        <v>0</v>
      </c>
      <c r="V743" s="144">
        <v>0</v>
      </c>
      <c r="W743" s="143">
        <v>0</v>
      </c>
    </row>
    <row r="744" spans="21:23">
      <c r="U744" s="144">
        <v>0</v>
      </c>
      <c r="V744" s="144">
        <v>0</v>
      </c>
      <c r="W744" s="143">
        <v>0</v>
      </c>
    </row>
    <row r="745" spans="21:23">
      <c r="U745" s="144">
        <v>0</v>
      </c>
      <c r="V745" s="144">
        <v>0</v>
      </c>
      <c r="W745" s="143">
        <v>0</v>
      </c>
    </row>
    <row r="746" spans="21:23">
      <c r="U746" s="144">
        <v>0</v>
      </c>
      <c r="V746" s="144">
        <v>0</v>
      </c>
      <c r="W746" s="143">
        <v>0</v>
      </c>
    </row>
    <row r="747" spans="21:23">
      <c r="U747" s="144">
        <v>0</v>
      </c>
      <c r="V747" s="144">
        <v>0</v>
      </c>
      <c r="W747" s="143">
        <v>0</v>
      </c>
    </row>
    <row r="748" spans="21:23">
      <c r="U748" s="144">
        <v>0</v>
      </c>
      <c r="V748" s="144">
        <v>0</v>
      </c>
      <c r="W748" s="143">
        <v>0</v>
      </c>
    </row>
    <row r="749" spans="21:23">
      <c r="U749" s="144">
        <v>0</v>
      </c>
      <c r="V749" s="144">
        <v>0</v>
      </c>
      <c r="W749" s="143">
        <v>0</v>
      </c>
    </row>
    <row r="750" spans="21:23">
      <c r="U750" s="144">
        <v>0</v>
      </c>
      <c r="V750" s="144">
        <v>0</v>
      </c>
      <c r="W750" s="143">
        <v>0</v>
      </c>
    </row>
    <row r="751" spans="21:23">
      <c r="U751" s="144">
        <v>0</v>
      </c>
      <c r="V751" s="144">
        <v>0</v>
      </c>
      <c r="W751" s="143">
        <v>0</v>
      </c>
    </row>
    <row r="752" spans="21:23">
      <c r="U752" s="144">
        <v>0</v>
      </c>
      <c r="V752" s="144">
        <v>0</v>
      </c>
      <c r="W752" s="143">
        <v>0</v>
      </c>
    </row>
    <row r="753" spans="21:23">
      <c r="U753" s="144">
        <v>0</v>
      </c>
      <c r="V753" s="144">
        <v>0</v>
      </c>
      <c r="W753" s="143">
        <v>0</v>
      </c>
    </row>
    <row r="754" spans="21:23">
      <c r="U754" s="144">
        <v>0</v>
      </c>
      <c r="V754" s="144">
        <v>0</v>
      </c>
      <c r="W754" s="143">
        <v>0</v>
      </c>
    </row>
    <row r="755" spans="21:23">
      <c r="U755" s="144">
        <v>0</v>
      </c>
      <c r="V755" s="144">
        <v>0</v>
      </c>
      <c r="W755" s="143">
        <v>0</v>
      </c>
    </row>
    <row r="756" spans="21:23">
      <c r="U756" s="144">
        <v>0</v>
      </c>
      <c r="V756" s="144">
        <v>0</v>
      </c>
      <c r="W756" s="143">
        <v>0</v>
      </c>
    </row>
    <row r="757" spans="21:23">
      <c r="U757" s="144">
        <v>0</v>
      </c>
      <c r="V757" s="144">
        <v>0</v>
      </c>
      <c r="W757" s="143">
        <v>0</v>
      </c>
    </row>
    <row r="758" spans="21:23">
      <c r="U758" s="144">
        <v>0</v>
      </c>
      <c r="V758" s="144">
        <v>0</v>
      </c>
      <c r="W758" s="143">
        <v>0</v>
      </c>
    </row>
    <row r="759" spans="21:23">
      <c r="U759" s="144">
        <v>0</v>
      </c>
      <c r="V759" s="144">
        <v>0</v>
      </c>
      <c r="W759" s="143">
        <v>0</v>
      </c>
    </row>
    <row r="760" spans="21:23">
      <c r="U760" s="144">
        <v>0</v>
      </c>
      <c r="V760" s="144">
        <v>0</v>
      </c>
      <c r="W760" s="143">
        <v>0</v>
      </c>
    </row>
    <row r="761" spans="21:23">
      <c r="U761" s="144">
        <v>0</v>
      </c>
      <c r="V761" s="144">
        <v>0</v>
      </c>
      <c r="W761" s="143">
        <v>0</v>
      </c>
    </row>
    <row r="762" spans="21:23">
      <c r="U762" s="144">
        <v>0</v>
      </c>
      <c r="V762" s="144">
        <v>0</v>
      </c>
      <c r="W762" s="143">
        <v>0</v>
      </c>
    </row>
    <row r="763" spans="21:23">
      <c r="U763" s="144">
        <v>0</v>
      </c>
      <c r="V763" s="144">
        <v>0</v>
      </c>
      <c r="W763" s="143">
        <v>0</v>
      </c>
    </row>
    <row r="764" spans="21:23">
      <c r="U764" s="144">
        <v>0</v>
      </c>
      <c r="V764" s="144">
        <v>0</v>
      </c>
      <c r="W764" s="143">
        <v>0</v>
      </c>
    </row>
    <row r="765" spans="21:23">
      <c r="U765" s="144">
        <v>0</v>
      </c>
      <c r="V765" s="144">
        <v>0</v>
      </c>
      <c r="W765" s="143">
        <v>0</v>
      </c>
    </row>
    <row r="766" spans="21:23">
      <c r="U766" s="144">
        <v>0</v>
      </c>
      <c r="V766" s="144">
        <v>0</v>
      </c>
      <c r="W766" s="143">
        <v>0</v>
      </c>
    </row>
    <row r="767" spans="21:23">
      <c r="U767" s="144">
        <v>0</v>
      </c>
      <c r="V767" s="144">
        <v>0</v>
      </c>
      <c r="W767" s="143">
        <v>0</v>
      </c>
    </row>
    <row r="768" spans="21:23">
      <c r="U768" s="144">
        <v>0</v>
      </c>
      <c r="V768" s="144">
        <v>0</v>
      </c>
      <c r="W768" s="143">
        <v>0</v>
      </c>
    </row>
    <row r="769" spans="21:23">
      <c r="U769" s="144">
        <v>0</v>
      </c>
      <c r="V769" s="144">
        <v>0</v>
      </c>
      <c r="W769" s="143">
        <v>0</v>
      </c>
    </row>
    <row r="770" spans="21:23">
      <c r="U770" s="144">
        <v>0</v>
      </c>
      <c r="V770" s="144">
        <v>0</v>
      </c>
      <c r="W770" s="143">
        <v>0</v>
      </c>
    </row>
    <row r="771" spans="21:23">
      <c r="U771" s="144">
        <v>0</v>
      </c>
      <c r="V771" s="144">
        <v>0</v>
      </c>
      <c r="W771" s="143">
        <v>0</v>
      </c>
    </row>
    <row r="772" spans="21:23">
      <c r="U772" s="144">
        <v>0</v>
      </c>
      <c r="V772" s="144">
        <v>0</v>
      </c>
      <c r="W772" s="143">
        <v>0</v>
      </c>
    </row>
    <row r="773" spans="21:23">
      <c r="U773" s="144">
        <v>0</v>
      </c>
      <c r="V773" s="144">
        <v>0</v>
      </c>
      <c r="W773" s="143">
        <v>0</v>
      </c>
    </row>
    <row r="774" spans="21:23">
      <c r="U774" s="144">
        <v>0</v>
      </c>
      <c r="V774" s="144">
        <v>0</v>
      </c>
      <c r="W774" s="143">
        <v>0</v>
      </c>
    </row>
    <row r="775" spans="21:23">
      <c r="U775" s="144">
        <v>0</v>
      </c>
      <c r="V775" s="144">
        <v>0</v>
      </c>
      <c r="W775" s="143">
        <v>0</v>
      </c>
    </row>
    <row r="776" spans="21:23">
      <c r="U776" s="144">
        <v>0</v>
      </c>
      <c r="V776" s="144">
        <v>0</v>
      </c>
      <c r="W776" s="143">
        <v>0</v>
      </c>
    </row>
    <row r="777" spans="21:23">
      <c r="U777" s="144">
        <v>0</v>
      </c>
      <c r="V777" s="144">
        <v>0</v>
      </c>
      <c r="W777" s="143">
        <v>0</v>
      </c>
    </row>
    <row r="778" spans="21:23">
      <c r="U778" s="144">
        <v>0</v>
      </c>
      <c r="V778" s="144">
        <v>0</v>
      </c>
      <c r="W778" s="143">
        <v>0</v>
      </c>
    </row>
    <row r="779" spans="21:23">
      <c r="U779" s="144">
        <v>0</v>
      </c>
      <c r="V779" s="144">
        <v>0</v>
      </c>
      <c r="W779" s="143">
        <v>0</v>
      </c>
    </row>
    <row r="780" spans="21:23">
      <c r="U780" s="144">
        <v>0</v>
      </c>
      <c r="V780" s="144">
        <v>0</v>
      </c>
      <c r="W780" s="143">
        <v>0</v>
      </c>
    </row>
    <row r="781" spans="21:23">
      <c r="U781" s="144">
        <v>0</v>
      </c>
      <c r="V781" s="144">
        <v>0</v>
      </c>
      <c r="W781" s="143">
        <v>0</v>
      </c>
    </row>
    <row r="782" spans="21:23">
      <c r="U782" s="144">
        <v>0</v>
      </c>
      <c r="V782" s="144">
        <v>0</v>
      </c>
      <c r="W782" s="143">
        <v>0</v>
      </c>
    </row>
    <row r="783" spans="21:23">
      <c r="U783" s="144">
        <v>0</v>
      </c>
      <c r="V783" s="144">
        <v>0</v>
      </c>
      <c r="W783" s="143">
        <v>0</v>
      </c>
    </row>
    <row r="784" spans="21:23">
      <c r="U784" s="144">
        <v>0</v>
      </c>
      <c r="V784" s="144">
        <v>0</v>
      </c>
      <c r="W784" s="143">
        <v>0</v>
      </c>
    </row>
    <row r="785" spans="21:23">
      <c r="U785" s="144">
        <v>0</v>
      </c>
      <c r="V785" s="144">
        <v>0</v>
      </c>
      <c r="W785" s="143">
        <v>0</v>
      </c>
    </row>
    <row r="786" spans="21:23">
      <c r="U786" s="144">
        <v>0</v>
      </c>
      <c r="V786" s="144">
        <v>0</v>
      </c>
      <c r="W786" s="143">
        <v>0</v>
      </c>
    </row>
    <row r="787" spans="21:23">
      <c r="U787" s="144">
        <v>0</v>
      </c>
      <c r="V787" s="144">
        <v>0</v>
      </c>
      <c r="W787" s="143">
        <v>0</v>
      </c>
    </row>
    <row r="788" spans="21:23">
      <c r="U788" s="144">
        <v>0</v>
      </c>
      <c r="V788" s="144">
        <v>0</v>
      </c>
      <c r="W788" s="143">
        <v>0</v>
      </c>
    </row>
    <row r="789" spans="21:23">
      <c r="U789" s="144">
        <v>0</v>
      </c>
      <c r="V789" s="144">
        <v>0</v>
      </c>
      <c r="W789" s="143">
        <v>0</v>
      </c>
    </row>
    <row r="790" spans="21:23">
      <c r="U790" s="144">
        <v>0</v>
      </c>
      <c r="V790" s="144">
        <v>0</v>
      </c>
      <c r="W790" s="143">
        <v>0</v>
      </c>
    </row>
    <row r="791" spans="21:23">
      <c r="U791" s="144">
        <v>0</v>
      </c>
      <c r="V791" s="144">
        <v>0</v>
      </c>
      <c r="W791" s="143">
        <v>0</v>
      </c>
    </row>
    <row r="792" spans="21:23">
      <c r="U792" s="144">
        <v>0</v>
      </c>
      <c r="V792" s="144">
        <v>0</v>
      </c>
      <c r="W792" s="143">
        <v>0</v>
      </c>
    </row>
    <row r="793" spans="21:23">
      <c r="U793" s="144">
        <v>0</v>
      </c>
      <c r="V793" s="144">
        <v>0</v>
      </c>
      <c r="W793" s="143">
        <v>0</v>
      </c>
    </row>
    <row r="794" spans="21:23">
      <c r="U794" s="144">
        <v>0</v>
      </c>
      <c r="V794" s="144">
        <v>0</v>
      </c>
      <c r="W794" s="143">
        <v>0</v>
      </c>
    </row>
    <row r="795" spans="21:23">
      <c r="U795" s="144">
        <v>0</v>
      </c>
      <c r="V795" s="144">
        <v>0</v>
      </c>
      <c r="W795" s="143">
        <v>0</v>
      </c>
    </row>
    <row r="796" spans="21:23">
      <c r="U796" s="144">
        <v>0</v>
      </c>
      <c r="V796" s="144">
        <v>0</v>
      </c>
      <c r="W796" s="143">
        <v>0</v>
      </c>
    </row>
    <row r="797" spans="21:23">
      <c r="U797" s="144">
        <v>0</v>
      </c>
      <c r="V797" s="144">
        <v>0</v>
      </c>
      <c r="W797" s="143">
        <v>0</v>
      </c>
    </row>
    <row r="798" spans="21:23">
      <c r="U798" s="144">
        <v>0</v>
      </c>
      <c r="V798" s="144">
        <v>0</v>
      </c>
      <c r="W798" s="143">
        <v>0</v>
      </c>
    </row>
    <row r="799" spans="21:23">
      <c r="U799" s="144">
        <v>0</v>
      </c>
      <c r="V799" s="144">
        <v>0</v>
      </c>
      <c r="W799" s="143">
        <v>0</v>
      </c>
    </row>
    <row r="800" spans="21:23">
      <c r="U800" s="144">
        <v>0</v>
      </c>
      <c r="V800" s="144">
        <v>0</v>
      </c>
      <c r="W800" s="143">
        <v>0</v>
      </c>
    </row>
    <row r="801" spans="21:23">
      <c r="U801" s="144">
        <v>0</v>
      </c>
      <c r="V801" s="144">
        <v>0</v>
      </c>
      <c r="W801" s="143">
        <v>0</v>
      </c>
    </row>
    <row r="802" spans="21:23">
      <c r="U802" s="144">
        <v>0</v>
      </c>
      <c r="V802" s="144">
        <v>0</v>
      </c>
      <c r="W802" s="143">
        <v>0</v>
      </c>
    </row>
    <row r="803" spans="21:23">
      <c r="U803" s="144">
        <v>0</v>
      </c>
      <c r="V803" s="144">
        <v>0</v>
      </c>
      <c r="W803" s="143">
        <v>0</v>
      </c>
    </row>
    <row r="804" spans="21:23">
      <c r="U804" s="144">
        <v>0</v>
      </c>
      <c r="V804" s="144">
        <v>0</v>
      </c>
      <c r="W804" s="143">
        <v>0</v>
      </c>
    </row>
    <row r="805" spans="21:23">
      <c r="U805" s="144">
        <v>0</v>
      </c>
      <c r="V805" s="144">
        <v>0</v>
      </c>
      <c r="W805" s="143">
        <v>0</v>
      </c>
    </row>
    <row r="806" spans="21:23">
      <c r="U806" s="144">
        <v>0</v>
      </c>
      <c r="V806" s="144">
        <v>0</v>
      </c>
      <c r="W806" s="143">
        <v>0</v>
      </c>
    </row>
    <row r="807" spans="21:23">
      <c r="U807" s="144">
        <v>0</v>
      </c>
      <c r="V807" s="144">
        <v>0</v>
      </c>
      <c r="W807" s="143">
        <v>0</v>
      </c>
    </row>
    <row r="808" spans="21:23">
      <c r="U808" s="144">
        <v>0</v>
      </c>
      <c r="V808" s="144">
        <v>0</v>
      </c>
      <c r="W808" s="143">
        <v>0</v>
      </c>
    </row>
    <row r="809" spans="21:23">
      <c r="U809" s="144">
        <v>0</v>
      </c>
      <c r="V809" s="144">
        <v>0</v>
      </c>
      <c r="W809" s="143">
        <v>0</v>
      </c>
    </row>
    <row r="810" spans="21:23">
      <c r="U810" s="144">
        <v>0</v>
      </c>
      <c r="V810" s="144">
        <v>0</v>
      </c>
      <c r="W810" s="143">
        <v>0</v>
      </c>
    </row>
    <row r="811" spans="21:23">
      <c r="U811" s="144">
        <v>0</v>
      </c>
      <c r="V811" s="144">
        <v>0</v>
      </c>
      <c r="W811" s="143">
        <v>0</v>
      </c>
    </row>
    <row r="812" spans="21:23">
      <c r="U812" s="144">
        <v>0</v>
      </c>
      <c r="V812" s="144">
        <v>0</v>
      </c>
      <c r="W812" s="143">
        <v>0</v>
      </c>
    </row>
    <row r="813" spans="21:23">
      <c r="U813" s="144">
        <v>0</v>
      </c>
      <c r="V813" s="144">
        <v>0</v>
      </c>
      <c r="W813" s="143">
        <v>0</v>
      </c>
    </row>
    <row r="814" spans="21:23">
      <c r="U814" s="144">
        <v>0</v>
      </c>
      <c r="V814" s="144">
        <v>0</v>
      </c>
      <c r="W814" s="143">
        <v>0</v>
      </c>
    </row>
    <row r="815" spans="21:23">
      <c r="U815" s="144">
        <v>0</v>
      </c>
      <c r="V815" s="144">
        <v>0</v>
      </c>
      <c r="W815" s="143">
        <v>0</v>
      </c>
    </row>
    <row r="816" spans="21:23">
      <c r="U816" s="144">
        <v>0</v>
      </c>
      <c r="V816" s="144">
        <v>0</v>
      </c>
      <c r="W816" s="143">
        <v>0</v>
      </c>
    </row>
    <row r="817" spans="21:23">
      <c r="U817" s="144">
        <v>0</v>
      </c>
      <c r="V817" s="144">
        <v>0</v>
      </c>
      <c r="W817" s="143">
        <v>0</v>
      </c>
    </row>
    <row r="818" spans="21:23">
      <c r="U818" s="144">
        <v>0</v>
      </c>
      <c r="V818" s="144">
        <v>0</v>
      </c>
      <c r="W818" s="143">
        <v>0</v>
      </c>
    </row>
    <row r="819" spans="21:23">
      <c r="U819" s="144">
        <v>0</v>
      </c>
      <c r="V819" s="144">
        <v>0</v>
      </c>
      <c r="W819" s="143">
        <v>0</v>
      </c>
    </row>
    <row r="820" spans="21:23">
      <c r="U820" s="144">
        <v>0</v>
      </c>
      <c r="V820" s="144">
        <v>0</v>
      </c>
      <c r="W820" s="143">
        <v>0</v>
      </c>
    </row>
    <row r="821" spans="21:23">
      <c r="U821" s="144">
        <v>0</v>
      </c>
      <c r="V821" s="144">
        <v>0</v>
      </c>
      <c r="W821" s="143">
        <v>0</v>
      </c>
    </row>
    <row r="822" spans="21:23">
      <c r="U822" s="144">
        <v>0</v>
      </c>
      <c r="V822" s="144">
        <v>0</v>
      </c>
      <c r="W822" s="143">
        <v>0</v>
      </c>
    </row>
    <row r="823" spans="21:23">
      <c r="U823" s="144">
        <v>0</v>
      </c>
      <c r="V823" s="144">
        <v>0</v>
      </c>
      <c r="W823" s="143">
        <v>0</v>
      </c>
    </row>
    <row r="824" spans="21:23">
      <c r="U824" s="144">
        <v>0</v>
      </c>
      <c r="V824" s="144">
        <v>0</v>
      </c>
      <c r="W824" s="143">
        <v>0</v>
      </c>
    </row>
    <row r="825" spans="21:23">
      <c r="U825" s="144">
        <v>0</v>
      </c>
      <c r="V825" s="144">
        <v>0</v>
      </c>
      <c r="W825" s="143">
        <v>0</v>
      </c>
    </row>
    <row r="826" spans="21:23">
      <c r="U826" s="144">
        <v>0</v>
      </c>
      <c r="V826" s="144">
        <v>0</v>
      </c>
      <c r="W826" s="143">
        <v>0</v>
      </c>
    </row>
    <row r="827" spans="21:23">
      <c r="U827" s="144">
        <v>0</v>
      </c>
      <c r="V827" s="144">
        <v>0</v>
      </c>
      <c r="W827" s="143">
        <v>0</v>
      </c>
    </row>
    <row r="828" spans="21:23">
      <c r="U828" s="144">
        <v>0</v>
      </c>
      <c r="V828" s="144">
        <v>0</v>
      </c>
      <c r="W828" s="143">
        <v>0</v>
      </c>
    </row>
    <row r="829" spans="21:23">
      <c r="U829" s="144">
        <v>0</v>
      </c>
      <c r="V829" s="144">
        <v>0</v>
      </c>
      <c r="W829" s="143">
        <v>0</v>
      </c>
    </row>
    <row r="830" spans="21:23">
      <c r="U830" s="144">
        <v>0</v>
      </c>
      <c r="V830" s="144">
        <v>0</v>
      </c>
      <c r="W830" s="143">
        <v>0</v>
      </c>
    </row>
    <row r="831" spans="21:23">
      <c r="U831" s="144">
        <v>0</v>
      </c>
      <c r="V831" s="144">
        <v>0</v>
      </c>
      <c r="W831" s="143">
        <v>0</v>
      </c>
    </row>
    <row r="832" spans="21:23">
      <c r="U832" s="144">
        <v>0</v>
      </c>
      <c r="V832" s="144">
        <v>0</v>
      </c>
      <c r="W832" s="143">
        <v>0</v>
      </c>
    </row>
    <row r="833" spans="21:23">
      <c r="U833" s="144">
        <v>0</v>
      </c>
      <c r="V833" s="144">
        <v>0</v>
      </c>
      <c r="W833" s="143">
        <v>0</v>
      </c>
    </row>
    <row r="834" spans="21:23">
      <c r="U834" s="144">
        <v>0</v>
      </c>
      <c r="V834" s="144">
        <v>0</v>
      </c>
      <c r="W834" s="143">
        <v>0</v>
      </c>
    </row>
    <row r="835" spans="21:23">
      <c r="U835" s="144">
        <v>0</v>
      </c>
      <c r="V835" s="144">
        <v>0</v>
      </c>
      <c r="W835" s="143">
        <v>0</v>
      </c>
    </row>
    <row r="836" spans="21:23">
      <c r="U836" s="144">
        <v>0</v>
      </c>
      <c r="V836" s="144">
        <v>0</v>
      </c>
      <c r="W836" s="143">
        <v>0</v>
      </c>
    </row>
    <row r="837" spans="21:23">
      <c r="U837" s="144">
        <v>0</v>
      </c>
      <c r="V837" s="144">
        <v>0</v>
      </c>
      <c r="W837" s="143">
        <v>0</v>
      </c>
    </row>
    <row r="838" spans="21:23">
      <c r="U838" s="144">
        <v>0</v>
      </c>
      <c r="V838" s="144">
        <v>0</v>
      </c>
      <c r="W838" s="143">
        <v>0</v>
      </c>
    </row>
    <row r="839" spans="21:23">
      <c r="U839" s="144">
        <v>0</v>
      </c>
      <c r="V839" s="144">
        <v>0</v>
      </c>
      <c r="W839" s="143">
        <v>0</v>
      </c>
    </row>
    <row r="840" spans="21:23">
      <c r="U840" s="144">
        <v>0</v>
      </c>
      <c r="V840" s="144">
        <v>0</v>
      </c>
      <c r="W840" s="143">
        <v>0</v>
      </c>
    </row>
    <row r="841" spans="21:23">
      <c r="U841" s="144">
        <v>0</v>
      </c>
      <c r="V841" s="144">
        <v>0</v>
      </c>
      <c r="W841" s="143">
        <v>0</v>
      </c>
    </row>
    <row r="842" spans="21:23">
      <c r="U842" s="144">
        <v>0</v>
      </c>
      <c r="V842" s="144">
        <v>0</v>
      </c>
      <c r="W842" s="143">
        <v>0</v>
      </c>
    </row>
    <row r="843" spans="21:23">
      <c r="U843" s="144">
        <v>0</v>
      </c>
      <c r="V843" s="144">
        <v>0</v>
      </c>
      <c r="W843" s="143">
        <v>0</v>
      </c>
    </row>
    <row r="844" spans="21:23">
      <c r="U844" s="144">
        <v>0</v>
      </c>
      <c r="V844" s="144">
        <v>0</v>
      </c>
      <c r="W844" s="143">
        <v>0</v>
      </c>
    </row>
    <row r="845" spans="21:23">
      <c r="U845" s="144">
        <v>0</v>
      </c>
      <c r="V845" s="144">
        <v>0</v>
      </c>
      <c r="W845" s="143">
        <v>0</v>
      </c>
    </row>
    <row r="846" spans="21:23">
      <c r="U846" s="144">
        <v>0</v>
      </c>
      <c r="V846" s="144">
        <v>0</v>
      </c>
      <c r="W846" s="143">
        <v>0</v>
      </c>
    </row>
    <row r="847" spans="21:23">
      <c r="U847" s="144">
        <v>0</v>
      </c>
      <c r="V847" s="144">
        <v>0</v>
      </c>
      <c r="W847" s="143">
        <v>0</v>
      </c>
    </row>
    <row r="848" spans="21:23">
      <c r="U848" s="144">
        <v>0</v>
      </c>
      <c r="V848" s="144">
        <v>0</v>
      </c>
      <c r="W848" s="143">
        <v>0</v>
      </c>
    </row>
    <row r="849" spans="21:23">
      <c r="U849" s="144">
        <v>0</v>
      </c>
      <c r="V849" s="144">
        <v>0</v>
      </c>
      <c r="W849" s="143">
        <v>0</v>
      </c>
    </row>
    <row r="850" spans="21:23">
      <c r="U850" s="144">
        <v>0</v>
      </c>
      <c r="V850" s="144">
        <v>0</v>
      </c>
      <c r="W850" s="143">
        <v>0</v>
      </c>
    </row>
    <row r="851" spans="21:23">
      <c r="U851" s="144">
        <v>0</v>
      </c>
      <c r="V851" s="144">
        <v>0</v>
      </c>
      <c r="W851" s="143">
        <v>0</v>
      </c>
    </row>
    <row r="852" spans="21:23">
      <c r="U852" s="144">
        <v>0</v>
      </c>
      <c r="V852" s="144">
        <v>0</v>
      </c>
      <c r="W852" s="143">
        <v>0</v>
      </c>
    </row>
    <row r="853" spans="21:23">
      <c r="U853" s="144">
        <v>0</v>
      </c>
      <c r="V853" s="144">
        <v>0</v>
      </c>
      <c r="W853" s="143">
        <v>0</v>
      </c>
    </row>
    <row r="854" spans="21:23">
      <c r="U854" s="144">
        <v>0</v>
      </c>
      <c r="V854" s="144">
        <v>0</v>
      </c>
      <c r="W854" s="143">
        <v>0</v>
      </c>
    </row>
    <row r="855" spans="21:23">
      <c r="U855" s="144">
        <v>0</v>
      </c>
      <c r="V855" s="144">
        <v>0</v>
      </c>
      <c r="W855" s="143">
        <v>0</v>
      </c>
    </row>
    <row r="856" spans="21:23">
      <c r="U856" s="144">
        <v>0</v>
      </c>
      <c r="V856" s="144">
        <v>0</v>
      </c>
      <c r="W856" s="143">
        <v>0</v>
      </c>
    </row>
    <row r="857" spans="21:23">
      <c r="U857" s="144">
        <v>0</v>
      </c>
      <c r="V857" s="144">
        <v>0</v>
      </c>
      <c r="W857" s="143">
        <v>0</v>
      </c>
    </row>
    <row r="858" spans="21:23">
      <c r="U858" s="144">
        <v>0</v>
      </c>
      <c r="V858" s="144">
        <v>0</v>
      </c>
      <c r="W858" s="143">
        <v>0</v>
      </c>
    </row>
    <row r="859" spans="21:23">
      <c r="U859" s="144">
        <v>0</v>
      </c>
      <c r="V859" s="144">
        <v>0</v>
      </c>
      <c r="W859" s="143">
        <v>0</v>
      </c>
    </row>
    <row r="860" spans="21:23">
      <c r="U860" s="144">
        <v>0</v>
      </c>
      <c r="V860" s="144">
        <v>0</v>
      </c>
      <c r="W860" s="143">
        <v>0</v>
      </c>
    </row>
    <row r="861" spans="21:23">
      <c r="U861" s="144">
        <v>0</v>
      </c>
      <c r="V861" s="144">
        <v>0</v>
      </c>
      <c r="W861" s="143">
        <v>0</v>
      </c>
    </row>
    <row r="862" spans="21:23">
      <c r="U862" s="144">
        <v>0</v>
      </c>
      <c r="V862" s="144">
        <v>0</v>
      </c>
      <c r="W862" s="143">
        <v>0</v>
      </c>
    </row>
    <row r="863" spans="21:23">
      <c r="U863" s="144">
        <v>0</v>
      </c>
      <c r="V863" s="144">
        <v>0</v>
      </c>
      <c r="W863" s="143">
        <v>0</v>
      </c>
    </row>
    <row r="864" spans="21:23">
      <c r="U864" s="144">
        <v>0</v>
      </c>
      <c r="V864" s="144">
        <v>0</v>
      </c>
      <c r="W864" s="143">
        <v>0</v>
      </c>
    </row>
    <row r="865" spans="21:23">
      <c r="U865" s="144">
        <v>0</v>
      </c>
      <c r="V865" s="144">
        <v>0</v>
      </c>
      <c r="W865" s="143">
        <v>0</v>
      </c>
    </row>
    <row r="866" spans="21:23">
      <c r="U866" s="144">
        <v>0</v>
      </c>
      <c r="V866" s="144">
        <v>0</v>
      </c>
      <c r="W866" s="143">
        <v>0</v>
      </c>
    </row>
    <row r="867" spans="21:23">
      <c r="U867" s="144">
        <v>0</v>
      </c>
      <c r="V867" s="144">
        <v>0</v>
      </c>
      <c r="W867" s="143">
        <v>0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340</vt:i4>
      </vt:variant>
    </vt:vector>
  </HeadingPairs>
  <TitlesOfParts>
    <vt:vector size="346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PyFlange_Gap120deg!fatigue.damage</vt:lpstr>
      <vt:lpstr>PyFlange_Gap30deg!fatigue.damage</vt:lpstr>
      <vt:lpstr>PyFlange_Gap60deg!fatigue.damage</vt:lpstr>
      <vt:lpstr>PyFlange_Gap90deg!fatigue.damage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SGRE!markov_matrix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2024-11-06T21:29:15Z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