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7C1FA579-5E49-43FE-BDB1-73CEB9D037C2}" xr6:coauthVersionLast="47" xr6:coauthVersionMax="47" xr10:uidLastSave="{00000000-0000-0000-0000-000000000000}"/>
  <bookViews>
    <workbookView xWindow="28680" yWindow="-708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4" i="16" a="1"/>
  <c r="F79" i="16" a="1"/>
  <c r="F82" i="16" a="1"/>
  <c r="F52" i="16" a="1"/>
  <c r="F51" i="16" a="1"/>
  <c r="F101" i="16" a="1"/>
  <c r="F48" i="16" a="1"/>
  <c r="F38" i="16" a="1"/>
  <c r="F106" i="16" a="1"/>
  <c r="F87" i="16" a="1"/>
  <c r="F50" i="16" a="1"/>
  <c r="F37" i="16" a="1"/>
  <c r="F69" i="16" a="1"/>
  <c r="F113" i="16" a="1"/>
  <c r="F78" i="16" a="1"/>
  <c r="F60" i="16" a="1"/>
  <c r="F104" i="16" a="1"/>
  <c r="F29" i="16" a="1"/>
  <c r="F68" i="16" a="1"/>
  <c r="F108" i="16" a="1"/>
  <c r="F95" i="16" a="1"/>
  <c r="F49" i="16" a="1"/>
  <c r="F97" i="16" a="1"/>
  <c r="F107" i="16" a="1"/>
  <c r="F112" i="16" a="1"/>
  <c r="F71" i="16" a="1"/>
  <c r="F99" i="16" a="1"/>
  <c r="F86" i="16" a="1"/>
  <c r="F53" i="16" a="1"/>
  <c r="F31" i="16" a="1"/>
  <c r="F67" i="16" a="1"/>
  <c r="F70" i="16" a="1"/>
  <c r="F89" i="16" a="1"/>
  <c r="F36" i="16" a="1"/>
  <c r="F76" i="16" a="1"/>
  <c r="F72" i="16" a="1"/>
  <c r="F81" i="16" a="1"/>
  <c r="F119" i="16" a="1"/>
  <c r="F117" i="16" a="1"/>
  <c r="F88" i="16" a="1"/>
  <c r="F30" i="16" a="1"/>
  <c r="F100" i="16" a="1"/>
  <c r="F77" i="16" a="1"/>
  <c r="F83" i="16" a="1"/>
  <c r="F94" i="16" a="1"/>
  <c r="F61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G119" i="16" s="1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76" i="16" l="1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<sst xmlns="http://schemas.openxmlformats.org/spreadsheetml/2006/main" count="1557" uniqueCount="329">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</sst>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H6">
            <v>7500</v>
          </cell>
        </row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>
        <row r="53">
          <cell r="C53">
            <v>2.1533230192475301</v>
          </cell>
        </row>
      </sheetData>
      <sheetData sheetId="15"/>
      <sheetData sheetId="16">
        <row r="15">
          <cell r="E15">
            <v>194.0980661142894</v>
          </cell>
        </row>
      </sheetData>
      <sheetData sheetId="17">
        <row r="10">
          <cell r="J10">
            <v>298394.39776040422</v>
          </cell>
        </row>
      </sheetData>
      <sheetData sheetId="18"/>
      <sheetData sheetId="19">
        <row r="8">
          <cell r="E8">
            <v>-123.29166666666667</v>
          </cell>
        </row>
      </sheetData>
      <sheetData sheetId="20"/>
      <sheetData sheetId="21"/>
      <sheetData sheetId="22"/>
      <sheetData sheetId="23">
        <row r="7">
          <cell r="X7">
            <v>1</v>
          </cell>
        </row>
      </sheetData>
      <sheetData sheetId="24">
        <row r="5">
          <cell r="E5">
            <v>200</v>
          </cell>
        </row>
      </sheetData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D19" sqref="D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">
        <v>103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">
        <v>105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">
        <v>104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30°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2" t="s">
        <v>328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93" activePane="bottomLeft" state="frozen"/>
      <selection pane="bottomLeft" activeCell="B119" sqref="B1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60°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99" activePane="bottomLeft" state="frozen"/>
      <selection pane="bottomLeft" activeCell="B119" sqref="B1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90°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96" activePane="bottomLeft" state="frozen"/>
      <selection pane="bottomLeft" activeCell="B119" sqref="B1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120°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58" zoomScaleNormal="100" workbookViewId="0">
      <selection activeCell="H62" sqref="H6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41" t="s">
        <v>291</v>
      </c>
    </row>
    <row r="21" spans="2:18" ht="18">
      <c r="G21" s="142">
        <v>30</v>
      </c>
    </row>
    <row r="22" spans="2:18">
      <c r="G22" s="143">
        <f>MATCH(gap_angle,N48:Q48,0)</f>
        <v>1</v>
      </c>
    </row>
    <row r="23" spans="2:18">
      <c r="G23" s="143" t="str">
        <f>"Gap"&amp;gap_angle&amp;"deg"</f>
        <v>Gap30deg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1"/>
        <v>9.1983641357759886E-4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1"/>
        <v>-1.9364687158461775E-4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206.82520235998152</v>
      </c>
      <c r="F71" s="107" cm="1">
        <f t="array" aca="1" ref="F71" ca="1">INDIRECT(sheet_name&amp;"!Point3.Z")</f>
        <v>251.15459961508168</v>
      </c>
      <c r="G71" s="118">
        <f t="shared" ca="1" si="4"/>
        <v>0.21433266714732552</v>
      </c>
      <c r="K71" s="106"/>
      <c r="L71" s="103" t="s">
        <v>318</v>
      </c>
      <c r="M71" s="103" t="s">
        <v>129</v>
      </c>
      <c r="N71" s="109">
        <v>206.82520235998152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2922.9775815429352</v>
      </c>
      <c r="F72" s="107" cm="1">
        <f t="array" aca="1" ref="F72" ca="1">INDIRECT(sheet_name&amp;"!Point3.Fs")</f>
        <v>2929.2840755795692</v>
      </c>
      <c r="G72" s="118">
        <f t="shared" ca="1" si="4"/>
        <v>2.1575581271837704E-3</v>
      </c>
      <c r="K72" s="106"/>
      <c r="L72" s="103" t="s">
        <v>317</v>
      </c>
      <c r="M72" s="103" t="s">
        <v>129</v>
      </c>
      <c r="N72" s="109">
        <v>2922.9775815429352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1258087976.6031687</v>
      </c>
      <c r="F73" s="110" t="s">
        <v>87</v>
      </c>
      <c r="G73" s="110"/>
      <c r="K73" s="106"/>
      <c r="L73" s="103" t="s">
        <v>316</v>
      </c>
      <c r="M73" s="103"/>
      <c r="N73" s="110">
        <v>1258087976.6031687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137563.68964861956</v>
      </c>
      <c r="F74" s="111" t="s">
        <v>87</v>
      </c>
      <c r="G74" s="111"/>
      <c r="K74" s="106"/>
      <c r="L74" s="103" t="s">
        <v>315</v>
      </c>
      <c r="M74" s="103"/>
      <c r="N74" s="111">
        <v>137563.68964861956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167542173.33323577</v>
      </c>
      <c r="F75" s="111" t="s">
        <v>87</v>
      </c>
      <c r="G75" s="111"/>
      <c r="K75" s="106"/>
      <c r="L75" s="103" t="s">
        <v>314</v>
      </c>
      <c r="M75" s="103"/>
      <c r="N75" s="111">
        <v>167542173.33323577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59" cm="1">
        <f t="array" ref="E76">INDEX(N76:Q76,case_number)</f>
        <v>1.0934345785581771E-4</v>
      </c>
      <c r="F76" s="159" cm="1">
        <f t="array" aca="1" ref="F76" ca="1">INDIRECT(sheet_name&amp;"!Fs_coeff.tens.2")*1000</f>
        <v>1.1210995296667055E-4</v>
      </c>
      <c r="G76" s="118">
        <f t="shared" ref="G76:G78" ca="1" si="5">(F76-E76)/E76</f>
        <v>2.5300966012075338E-2</v>
      </c>
      <c r="K76" s="106"/>
      <c r="L76" s="105" t="s">
        <v>313</v>
      </c>
      <c r="M76" s="103"/>
      <c r="N76" s="150">
        <v>1.0934345785581771E-4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312</v>
      </c>
      <c r="D77" s="103"/>
      <c r="E77" s="159" cm="1">
        <f t="array" ref="E77">INDEX(N77:Q77,case_number)</f>
        <v>0.13317206463223566</v>
      </c>
      <c r="F77" s="159" cm="1">
        <f t="array" aca="1" ref="F77" ca="1">INDIRECT(sheet_name&amp;"!Fs_coeff.tens.1")</f>
        <v>0.12796628576797583</v>
      </c>
      <c r="G77" s="118">
        <f t="shared" ca="1" si="5"/>
        <v>-3.9090622185936376E-2</v>
      </c>
      <c r="K77" s="106"/>
      <c r="L77" s="105" t="s">
        <v>312</v>
      </c>
      <c r="M77" s="103"/>
      <c r="N77" s="150">
        <v>0.13317206463223566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2890.7568939331604</v>
      </c>
      <c r="F78" s="107" cm="1">
        <f t="array" aca="1" ref="F78" ca="1">INDIRECT(sheet_name&amp;"!Fs_coeff.tens.0")/1000</f>
        <v>2890.0730117447874</v>
      </c>
      <c r="G78" s="118">
        <f t="shared" ca="1" si="5"/>
        <v>-2.3657547606588991E-4</v>
      </c>
      <c r="K78" s="106"/>
      <c r="L78" s="112" t="s">
        <v>311</v>
      </c>
      <c r="M78" s="103"/>
      <c r="N78" s="108">
        <v>2890.7568939331604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4797.9387029107638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5169.21</v>
      </c>
      <c r="G86" s="118">
        <f ca="1">(F86-E86)/E86</f>
        <v>3.2990562702105532E-7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5169.21</v>
      </c>
      <c r="G87" s="118">
        <f ca="1">(F87-E87)/E87</f>
        <v>3.2990562702105532E-7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</v>
      </c>
      <c r="G89" s="118">
        <f ca="1">(F89-E89)/E89</f>
        <v>-1.3880405217153795E-6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549.79614201309175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431.02794916761809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1794.1541531878652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cm="1">
        <f t="array" aca="1" ref="F94" ca="1">INDIRECT(sheet_name&amp;"!point2.Fs")</f>
        <v>3595</v>
      </c>
      <c r="G94" s="118">
        <f ca="1">(F94-E94)/E94</f>
        <v>0</v>
      </c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</v>
      </c>
      <c r="G99" s="118">
        <f ca="1">(F99-E99)/E99</f>
        <v>-3.5887366781369556E-5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824</v>
      </c>
      <c r="G100" s="118">
        <f ca="1">(F100-E100)/E100</f>
        <v>1.2864224446373524E-4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0.41399999999999998</v>
      </c>
      <c r="G101" s="118">
        <f ca="1">(F101-E101)/E101</f>
        <v>-7.4511390434827925E-4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0.41430870717841117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0.10620989951298034</v>
      </c>
      <c r="F107" s="113" cm="1">
        <f t="array" aca="1" ref="F107" ca="1">INDIRECT(sheet_name&amp;"!true_force_initial_slope")</f>
        <v>0.10032183986561098</v>
      </c>
      <c r="G107" s="118">
        <f ca="1">(F107-E107)/E107</f>
        <v>-5.5437955165843558E-2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0.10620989951298034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2809.9184303374777</v>
      </c>
      <c r="F108" s="108" cm="1">
        <f t="array" aca="1" ref="F108" ca="1">INDIRECT(sheet_name&amp;"!point4.Fs")</f>
        <v>2813.5818402947953</v>
      </c>
      <c r="G108" s="118">
        <f ca="1">(F108-E108)/E108</f>
        <v>1.3037424566369146E-3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2809.9184303374777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0.44993544240730643</v>
      </c>
      <c r="F117" s="113" cm="1">
        <f t="array" aca="1" ref="F117" ca="1">INDIRECT(sheet_name&amp;"!true_moment_initial_slope")</f>
        <v>0.4315711874246439</v>
      </c>
      <c r="G117" s="118">
        <f ca="1">(F117-E117)/E117</f>
        <v>-4.0815310935292337E-2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0.44993544240730643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0.10727912386859083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0.10727912386859083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-294.6254340226738</v>
      </c>
      <c r="F119" s="108" cm="1">
        <f t="array" aca="1" ref="F119" ca="1">INDIRECT(sheet_name&amp;"!point4.Ms")</f>
        <v>-283.19818724345407</v>
      </c>
      <c r="G119" s="118">
        <f ca="1">(F119-E119)/E119</f>
        <v>-3.8785676522211966E-2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-294.6254340226738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-66.746818608845928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-66.746818608845928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2024-05-20T17:12:15Z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