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gamesa-my.sharepoint.com/personal/marc_seidel_siemensgamesa_com/Documents/Documents/50_Development/027_L-Flange_Methods/Bolt_and_Beautiful/90_BaB_Shared/10_Polynomial_Validation/"/>
    </mc:Choice>
  </mc:AlternateContent>
  <xr:revisionPtr revIDLastSave="0" documentId="8_{DBD4623C-759E-4D19-A212-BB42B0EFD59E}" xr6:coauthVersionLast="47" xr6:coauthVersionMax="47" xr10:uidLastSave="{00000000-0000-0000-0000-000000000000}"/>
  <bookViews>
    <workbookView xWindow="-120" yWindow="-120" windowWidth="29040" windowHeight="15840" xr2:uid="{08BB7667-E0B4-4298-B0C0-14B6806F3FAC}"/>
  </bookViews>
  <sheets>
    <sheet name="AM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0" i="1" l="1"/>
  <c r="E120" i="1"/>
  <c r="P119" i="1"/>
  <c r="E119" i="1"/>
  <c r="P118" i="1"/>
  <c r="E118" i="1"/>
  <c r="P117" i="1"/>
  <c r="E117" i="1"/>
  <c r="P116" i="1"/>
  <c r="P115" i="1"/>
  <c r="P114" i="1"/>
  <c r="P113" i="1"/>
  <c r="E113" i="1"/>
  <c r="P112" i="1"/>
  <c r="E112" i="1"/>
  <c r="P111" i="1"/>
  <c r="P110" i="1"/>
  <c r="P109" i="1"/>
  <c r="E109" i="1"/>
  <c r="E110" i="1" s="1"/>
  <c r="P108" i="1"/>
  <c r="E108" i="1"/>
  <c r="P107" i="1"/>
  <c r="E107" i="1"/>
  <c r="P106" i="1"/>
  <c r="E106" i="1"/>
  <c r="P105" i="1"/>
  <c r="P104" i="1"/>
  <c r="E104" i="1"/>
  <c r="P103" i="1"/>
  <c r="E103" i="1"/>
  <c r="P102" i="1"/>
  <c r="E102" i="1"/>
  <c r="P101" i="1"/>
  <c r="E101" i="1"/>
  <c r="P100" i="1"/>
  <c r="E100" i="1"/>
  <c r="P99" i="1"/>
  <c r="E99" i="1"/>
  <c r="P98" i="1"/>
  <c r="E98" i="1"/>
  <c r="P97" i="1"/>
  <c r="E97" i="1"/>
  <c r="P96" i="1"/>
  <c r="E96" i="1"/>
  <c r="P95" i="1"/>
  <c r="E95" i="1"/>
  <c r="P94" i="1"/>
  <c r="E94" i="1"/>
  <c r="P93" i="1"/>
  <c r="E93" i="1"/>
  <c r="F92" i="1"/>
  <c r="P92" i="1" s="1"/>
  <c r="E92" i="1"/>
  <c r="P91" i="1"/>
  <c r="E91" i="1"/>
  <c r="P90" i="1"/>
  <c r="E90" i="1"/>
  <c r="P89" i="1"/>
  <c r="E89" i="1"/>
  <c r="P88" i="1"/>
  <c r="E88" i="1"/>
  <c r="P87" i="1"/>
  <c r="E87" i="1"/>
  <c r="P86" i="1"/>
  <c r="E86" i="1"/>
  <c r="P85" i="1"/>
  <c r="P84" i="1"/>
  <c r="E84" i="1"/>
  <c r="P83" i="1"/>
  <c r="E83" i="1"/>
  <c r="P82" i="1"/>
  <c r="E82" i="1"/>
  <c r="P81" i="1"/>
  <c r="E81" i="1"/>
  <c r="P80" i="1"/>
  <c r="E80" i="1"/>
  <c r="P79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P66" i="1"/>
  <c r="P65" i="1"/>
  <c r="P64" i="1"/>
  <c r="P63" i="1"/>
  <c r="P62" i="1"/>
  <c r="P61" i="1"/>
  <c r="E61" i="1"/>
  <c r="P60" i="1"/>
  <c r="E60" i="1"/>
  <c r="P59" i="1"/>
  <c r="P58" i="1"/>
  <c r="P57" i="1"/>
  <c r="P56" i="1"/>
  <c r="P55" i="1"/>
  <c r="E55" i="1"/>
  <c r="E56" i="1" s="1"/>
  <c r="P54" i="1"/>
  <c r="E54" i="1"/>
  <c r="P53" i="1"/>
  <c r="E53" i="1"/>
  <c r="E57" i="1" s="1"/>
  <c r="P52" i="1"/>
  <c r="E52" i="1"/>
  <c r="P51" i="1"/>
  <c r="E51" i="1"/>
  <c r="P50" i="1"/>
  <c r="E50" i="1"/>
  <c r="P49" i="1"/>
  <c r="E49" i="1"/>
  <c r="P48" i="1"/>
  <c r="E48" i="1"/>
  <c r="P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P33" i="1"/>
  <c r="E33" i="1"/>
  <c r="E34" i="1" s="1"/>
  <c r="E28" i="1" s="1"/>
  <c r="P32" i="1"/>
  <c r="E32" i="1"/>
  <c r="P31" i="1"/>
  <c r="E31" i="1"/>
  <c r="B31" i="1"/>
  <c r="B35" i="1" s="1"/>
  <c r="B39" i="1" s="1"/>
  <c r="B41" i="1" s="1"/>
  <c r="B42" i="1" s="1"/>
  <c r="B43" i="1" s="1"/>
  <c r="B44" i="1" s="1"/>
  <c r="B45" i="1" s="1"/>
  <c r="B47" i="1" s="1"/>
  <c r="B52" i="1" s="1"/>
  <c r="B53" i="1" s="1"/>
  <c r="B55" i="1" s="1"/>
  <c r="B56" i="1" s="1"/>
  <c r="B57" i="1" s="1"/>
  <c r="B58" i="1" s="1"/>
  <c r="B59" i="1" s="1"/>
  <c r="B60" i="1" s="1"/>
  <c r="B62" i="1" s="1"/>
  <c r="B63" i="1" s="1"/>
  <c r="B64" i="1" s="1"/>
  <c r="B65" i="1" s="1"/>
  <c r="B66" i="1" s="1"/>
  <c r="B79" i="1" s="1"/>
  <c r="B84" i="1" s="1"/>
  <c r="B85" i="1" s="1"/>
  <c r="B88" i="1" s="1"/>
  <c r="B89" i="1" s="1"/>
  <c r="B90" i="1" s="1"/>
  <c r="B91" i="1" s="1"/>
  <c r="B93" i="1" s="1"/>
  <c r="B94" i="1" s="1"/>
  <c r="B95" i="1" s="1"/>
  <c r="B96" i="1" s="1"/>
  <c r="B97" i="1" s="1"/>
  <c r="B99" i="1" s="1"/>
  <c r="B100" i="1" s="1"/>
  <c r="B101" i="1" s="1"/>
  <c r="B102" i="1" s="1"/>
  <c r="B104" i="1" s="1"/>
  <c r="B105" i="1" s="1"/>
  <c r="B106" i="1" s="1"/>
  <c r="B107" i="1" s="1"/>
  <c r="B108" i="1" s="1"/>
  <c r="B109" i="1" s="1"/>
  <c r="B110" i="1" s="1"/>
  <c r="B111" i="1" s="1"/>
  <c r="B112" i="1" s="1"/>
  <c r="B114" i="1" s="1"/>
  <c r="B115" i="1" s="1"/>
  <c r="B116" i="1" s="1"/>
  <c r="B117" i="1" s="1"/>
  <c r="B119" i="1" s="1"/>
  <c r="P30" i="1"/>
  <c r="E30" i="1"/>
  <c r="P29" i="1"/>
  <c r="P28" i="1"/>
  <c r="I28" i="1"/>
  <c r="I31" i="1" s="1"/>
  <c r="I35" i="1" s="1"/>
  <c r="I39" i="1" s="1"/>
  <c r="I41" i="1" s="1"/>
  <c r="I42" i="1" s="1"/>
  <c r="I43" i="1" s="1"/>
  <c r="I44" i="1" s="1"/>
  <c r="I45" i="1" s="1"/>
  <c r="I47" i="1" s="1"/>
  <c r="I52" i="1" s="1"/>
  <c r="I53" i="1" s="1"/>
  <c r="I55" i="1" s="1"/>
  <c r="I56" i="1" s="1"/>
  <c r="I57" i="1" s="1"/>
  <c r="I58" i="1" s="1"/>
  <c r="I59" i="1" s="1"/>
  <c r="I60" i="1" s="1"/>
  <c r="I62" i="1" s="1"/>
  <c r="I63" i="1" s="1"/>
  <c r="I64" i="1" s="1"/>
  <c r="I65" i="1" s="1"/>
  <c r="I66" i="1" s="1"/>
  <c r="I79" i="1" s="1"/>
  <c r="I84" i="1" s="1"/>
  <c r="I85" i="1" s="1"/>
  <c r="I88" i="1" s="1"/>
  <c r="I89" i="1" s="1"/>
  <c r="I90" i="1" s="1"/>
  <c r="I91" i="1" s="1"/>
  <c r="I93" i="1" s="1"/>
  <c r="I94" i="1" s="1"/>
  <c r="I95" i="1" s="1"/>
  <c r="I96" i="1" s="1"/>
  <c r="I97" i="1" s="1"/>
  <c r="I99" i="1" s="1"/>
  <c r="I100" i="1" s="1"/>
  <c r="I101" i="1" s="1"/>
  <c r="I102" i="1" s="1"/>
  <c r="I104" i="1" s="1"/>
  <c r="I105" i="1" s="1"/>
  <c r="I106" i="1" s="1"/>
  <c r="I107" i="1" s="1"/>
  <c r="I108" i="1" s="1"/>
  <c r="I109" i="1" s="1"/>
  <c r="I110" i="1" s="1"/>
  <c r="I111" i="1" s="1"/>
  <c r="I112" i="1" s="1"/>
  <c r="I114" i="1" s="1"/>
  <c r="I115" i="1" s="1"/>
  <c r="I116" i="1" s="1"/>
  <c r="I117" i="1" s="1"/>
  <c r="I119" i="1" s="1"/>
  <c r="B28" i="1"/>
  <c r="P27" i="1"/>
  <c r="E58" i="1" l="1"/>
  <c r="E59" i="1" s="1"/>
  <c r="E85" i="1" l="1"/>
</calcChain>
</file>

<file path=xl/sharedStrings.xml><?xml version="1.0" encoding="utf-8"?>
<sst xmlns="http://schemas.openxmlformats.org/spreadsheetml/2006/main" count="391" uniqueCount="133">
  <si>
    <t>Collection of all (intermediate) values as calculated according to IEC 61400-6 AMD1:2024</t>
  </si>
  <si>
    <t>Design cases</t>
  </si>
  <si>
    <t>Geometry:</t>
  </si>
  <si>
    <t>Equation</t>
  </si>
  <si>
    <t>Symbol</t>
  </si>
  <si>
    <t>Unit</t>
  </si>
  <si>
    <t>Value</t>
  </si>
  <si>
    <t>Comment</t>
  </si>
  <si>
    <t>30°</t>
  </si>
  <si>
    <t>60°</t>
  </si>
  <si>
    <t>90°</t>
  </si>
  <si>
    <t>120°</t>
  </si>
  <si>
    <r>
      <t>F</t>
    </r>
    <r>
      <rPr>
        <vertAlign val="subscript"/>
        <sz val="10"/>
        <color theme="1"/>
        <rFont val="Arial"/>
        <family val="2"/>
      </rPr>
      <t>p,C</t>
    </r>
    <r>
      <rPr>
        <sz val="10"/>
        <color theme="1"/>
        <rFont val="Arial"/>
        <family val="2"/>
      </rPr>
      <t>'</t>
    </r>
  </si>
  <si>
    <t>Simplified formula used, therefore not evaluated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</si>
  <si>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pl</t>
    </r>
  </si>
  <si>
    <t>[kN]</t>
  </si>
  <si>
    <t>Simplified formula used, therefore not used directly (but reported here for info)</t>
  </si>
  <si>
    <r>
      <t>f</t>
    </r>
    <r>
      <rPr>
        <vertAlign val="subscript"/>
        <sz val="10"/>
        <color theme="1"/>
        <rFont val="Arial"/>
        <family val="2"/>
      </rPr>
      <t>y,b</t>
    </r>
  </si>
  <si>
    <t>[MPa]</t>
  </si>
  <si>
    <t>Nominal yield strength (0.2% strain limit) for 10.9 bolts</t>
  </si>
  <si>
    <r>
      <t>A</t>
    </r>
    <r>
      <rPr>
        <vertAlign val="subscript"/>
        <sz val="10"/>
        <color theme="1"/>
        <rFont val="Arial"/>
        <family val="2"/>
      </rPr>
      <t>S</t>
    </r>
  </si>
  <si>
    <t>[mm²]</t>
  </si>
  <si>
    <t>Design value of preload, simplified formula</t>
  </si>
  <si>
    <r>
      <t>F</t>
    </r>
    <r>
      <rPr>
        <vertAlign val="subscript"/>
        <sz val="10"/>
        <color theme="1"/>
        <rFont val="Arial"/>
        <family val="2"/>
      </rPr>
      <t>p,inst.,mean</t>
    </r>
  </si>
  <si>
    <r>
      <t>COV</t>
    </r>
    <r>
      <rPr>
        <vertAlign val="subscript"/>
        <sz val="10"/>
        <color theme="1"/>
        <rFont val="Arial"/>
        <family val="2"/>
      </rPr>
      <t>p</t>
    </r>
  </si>
  <si>
    <t>[-]</t>
  </si>
  <si>
    <r>
      <t>F</t>
    </r>
    <r>
      <rPr>
        <vertAlign val="subscript"/>
        <sz val="10"/>
        <color theme="1"/>
        <rFont val="Arial"/>
        <family val="2"/>
      </rPr>
      <t>p,mean</t>
    </r>
  </si>
  <si>
    <t>Design preload averaged over 5 bolts</t>
  </si>
  <si>
    <r>
      <t>F</t>
    </r>
    <r>
      <rPr>
        <i/>
        <vertAlign val="subscript"/>
        <sz val="10"/>
        <color theme="1"/>
        <rFont val="Arial"/>
        <family val="2"/>
      </rPr>
      <t>p,C</t>
    </r>
    <r>
      <rPr>
        <i/>
        <sz val="10"/>
        <color theme="1"/>
        <rFont val="Arial"/>
        <family val="2"/>
      </rPr>
      <t>'</t>
    </r>
  </si>
  <si>
    <t>Limit value for HV bolts</t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</si>
  <si>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Arial"/>
        <family val="2"/>
      </rPr>
      <t>S</t>
    </r>
  </si>
  <si>
    <t>[m/N]</t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</si>
  <si>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Arial"/>
        <family val="2"/>
      </rPr>
      <t>P</t>
    </r>
  </si>
  <si>
    <t>p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</si>
  <si>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Z</t>
    </r>
  </si>
  <si>
    <r>
      <t>DFT</t>
    </r>
    <r>
      <rPr>
        <vertAlign val="subscript"/>
        <sz val="10"/>
        <color theme="1"/>
        <rFont val="Arial"/>
        <family val="2"/>
      </rPr>
      <t>sbw</t>
    </r>
  </si>
  <si>
    <r>
      <t>[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m]</t>
    </r>
  </si>
  <si>
    <r>
      <t>f</t>
    </r>
    <r>
      <rPr>
        <vertAlign val="subscript"/>
        <sz val="10"/>
        <color theme="1"/>
        <rFont val="Arial"/>
        <family val="2"/>
      </rPr>
      <t>Z,tot</t>
    </r>
  </si>
  <si>
    <t>Including 50% reduction where re-tightening is assumed</t>
  </si>
  <si>
    <r>
      <t>F</t>
    </r>
    <r>
      <rPr>
        <vertAlign val="subscript"/>
        <sz val="10"/>
        <color theme="1"/>
        <rFont val="Arial"/>
        <family val="2"/>
      </rPr>
      <t>S,loss</t>
    </r>
  </si>
  <si>
    <r>
      <t>M</t>
    </r>
    <r>
      <rPr>
        <vertAlign val="subscript"/>
        <sz val="10"/>
        <color theme="1"/>
        <rFont val="Arial"/>
        <family val="2"/>
      </rPr>
      <t>loss</t>
    </r>
  </si>
  <si>
    <t>[MNm]</t>
  </si>
  <si>
    <t>Note: S1 loads not included here, only FLS loads</t>
  </si>
  <si>
    <r>
      <t>M</t>
    </r>
    <r>
      <rPr>
        <vertAlign val="subscript"/>
        <sz val="10"/>
        <color theme="1"/>
        <rFont val="Arial"/>
        <family val="2"/>
      </rPr>
      <t>max,FLS</t>
    </r>
  </si>
  <si>
    <r>
      <t>M</t>
    </r>
    <r>
      <rPr>
        <vertAlign val="subscript"/>
        <sz val="10"/>
        <color theme="1"/>
        <rFont val="Arial"/>
        <family val="2"/>
      </rPr>
      <t>min,FLS</t>
    </r>
  </si>
  <si>
    <r>
      <t>Z</t>
    </r>
    <r>
      <rPr>
        <vertAlign val="subscript"/>
        <sz val="10"/>
        <color theme="1"/>
        <rFont val="Arial"/>
        <family val="2"/>
      </rPr>
      <t>loss</t>
    </r>
  </si>
  <si>
    <r>
      <t>F</t>
    </r>
    <r>
      <rPr>
        <vertAlign val="subscript"/>
        <sz val="10"/>
        <color theme="1"/>
        <rFont val="Arial"/>
        <family val="2"/>
      </rPr>
      <t>U,D</t>
    </r>
    <r>
      <rPr>
        <sz val="10"/>
        <color theme="1"/>
        <rFont val="Arial"/>
        <family val="2"/>
      </rPr>
      <t>/Z</t>
    </r>
    <r>
      <rPr>
        <vertAlign val="subscript"/>
        <sz val="10"/>
        <color theme="1"/>
        <rFont val="Arial"/>
        <family val="2"/>
      </rPr>
      <t>loss</t>
    </r>
  </si>
  <si>
    <t>(valid in case L-Flange is calculated)</t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</si>
  <si>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Gap</t>
    </r>
  </si>
  <si>
    <t>[deg]</t>
  </si>
  <si>
    <r>
      <t>L</t>
    </r>
    <r>
      <rPr>
        <vertAlign val="subscript"/>
        <sz val="10"/>
        <color theme="1"/>
        <rFont val="Arial"/>
        <family val="2"/>
      </rPr>
      <t>Gap</t>
    </r>
  </si>
  <si>
    <t>[m]</t>
  </si>
  <si>
    <t>Gap length measured on outside diameter</t>
  </si>
  <si>
    <t>D</t>
  </si>
  <si>
    <r>
      <t>u</t>
    </r>
    <r>
      <rPr>
        <vertAlign val="subscript"/>
        <sz val="10"/>
        <color theme="1"/>
        <rFont val="Arial"/>
        <family val="2"/>
      </rPr>
      <t>tol,1m</t>
    </r>
  </si>
  <si>
    <t>[mm/m]</t>
  </si>
  <si>
    <r>
      <t>k</t>
    </r>
    <r>
      <rPr>
        <vertAlign val="subscript"/>
        <sz val="10"/>
        <color theme="1"/>
        <rFont val="Arial"/>
        <family val="2"/>
      </rPr>
      <t>mean</t>
    </r>
  </si>
  <si>
    <t>[mm]</t>
  </si>
  <si>
    <r>
      <t>COV</t>
    </r>
    <r>
      <rPr>
        <vertAlign val="subscript"/>
        <sz val="10"/>
        <color theme="1"/>
        <rFont val="Arial"/>
        <family val="2"/>
      </rPr>
      <t>k</t>
    </r>
  </si>
  <si>
    <r>
      <t>L</t>
    </r>
    <r>
      <rPr>
        <vertAlign val="subscript"/>
        <sz val="10"/>
        <color theme="1"/>
        <rFont val="Arial"/>
        <family val="2"/>
      </rPr>
      <t>30°</t>
    </r>
  </si>
  <si>
    <r>
      <t>u</t>
    </r>
    <r>
      <rPr>
        <vertAlign val="subscript"/>
        <sz val="10"/>
        <color theme="1"/>
        <rFont val="Arial"/>
        <family val="2"/>
      </rPr>
      <t>tol,30°</t>
    </r>
  </si>
  <si>
    <r>
      <t>u</t>
    </r>
    <r>
      <rPr>
        <vertAlign val="subscript"/>
        <sz val="10"/>
        <color theme="1"/>
        <rFont val="Arial"/>
        <family val="2"/>
      </rPr>
      <t>tol,360°</t>
    </r>
  </si>
  <si>
    <r>
      <rPr>
        <sz val="10"/>
        <color theme="1"/>
        <rFont val="Symbol"/>
        <family val="1"/>
        <charset val="2"/>
      </rPr>
      <t>s</t>
    </r>
    <r>
      <rPr>
        <vertAlign val="subscript"/>
        <sz val="10"/>
        <color theme="1"/>
        <rFont val="Arial"/>
        <family val="2"/>
      </rPr>
      <t>k</t>
    </r>
  </si>
  <si>
    <r>
      <rPr>
        <sz val="10"/>
        <color theme="1"/>
        <rFont val="Symbol"/>
        <family val="1"/>
        <charset val="2"/>
      </rPr>
      <t>m</t>
    </r>
    <r>
      <rPr>
        <vertAlign val="subscript"/>
        <sz val="10"/>
        <color theme="1"/>
        <rFont val="Arial"/>
        <family val="2"/>
      </rPr>
      <t>k</t>
    </r>
  </si>
  <si>
    <r>
      <t>p</t>
    </r>
    <r>
      <rPr>
        <vertAlign val="subscript"/>
        <sz val="10"/>
        <color theme="1"/>
        <rFont val="Arial"/>
        <family val="2"/>
      </rPr>
      <t>95</t>
    </r>
  </si>
  <si>
    <r>
      <t>k</t>
    </r>
    <r>
      <rPr>
        <vertAlign val="subscript"/>
        <sz val="10"/>
        <color theme="1"/>
        <rFont val="Arial"/>
        <family val="2"/>
      </rPr>
      <t>design</t>
    </r>
  </si>
  <si>
    <r>
      <t>k</t>
    </r>
    <r>
      <rPr>
        <vertAlign val="subscript"/>
        <sz val="10"/>
        <color theme="1"/>
        <rFont val="Arial"/>
        <family val="2"/>
      </rPr>
      <t>used</t>
    </r>
  </si>
  <si>
    <t>Gap value used for calculation</t>
  </si>
  <si>
    <t>k(l)</t>
  </si>
  <si>
    <t>Gap shape formula</t>
  </si>
  <si>
    <t>Ds</t>
  </si>
  <si>
    <t>Stress range formula</t>
  </si>
  <si>
    <r>
      <t>F</t>
    </r>
    <r>
      <rPr>
        <vertAlign val="subscript"/>
        <sz val="10"/>
        <color theme="1"/>
        <rFont val="Arial"/>
        <family val="2"/>
      </rPr>
      <t>U,B</t>
    </r>
  </si>
  <si>
    <r>
      <t>F</t>
    </r>
    <r>
      <rPr>
        <vertAlign val="subscript"/>
        <sz val="10"/>
        <color theme="1"/>
        <rFont val="Arial"/>
        <family val="2"/>
      </rPr>
      <t>U,A</t>
    </r>
  </si>
  <si>
    <r>
      <t>F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(Z)</t>
    </r>
  </si>
  <si>
    <t>Summarized formula for bolt force curve</t>
  </si>
  <si>
    <r>
      <t>Z</t>
    </r>
    <r>
      <rPr>
        <vertAlign val="subscript"/>
        <sz val="10"/>
        <color theme="1"/>
        <rFont val="Arial"/>
        <family val="2"/>
      </rPr>
      <t>1</t>
    </r>
  </si>
  <si>
    <r>
      <t>F</t>
    </r>
    <r>
      <rPr>
        <vertAlign val="subscript"/>
        <sz val="10"/>
        <color theme="1"/>
        <rFont val="Arial"/>
        <family val="2"/>
      </rPr>
      <t>S,1</t>
    </r>
  </si>
  <si>
    <r>
      <t>Z</t>
    </r>
    <r>
      <rPr>
        <vertAlign val="subscript"/>
        <sz val="10"/>
        <color theme="1"/>
        <rFont val="Arial"/>
        <family val="2"/>
      </rPr>
      <t>2</t>
    </r>
  </si>
  <si>
    <r>
      <t>F</t>
    </r>
    <r>
      <rPr>
        <vertAlign val="subscript"/>
        <sz val="10"/>
        <color theme="1"/>
        <rFont val="Arial"/>
        <family val="2"/>
      </rPr>
      <t>S,2</t>
    </r>
  </si>
  <si>
    <r>
      <t>Z</t>
    </r>
    <r>
      <rPr>
        <vertAlign val="subscript"/>
        <sz val="10"/>
        <color theme="1"/>
        <rFont val="Arial"/>
        <family val="2"/>
      </rPr>
      <t>3</t>
    </r>
  </si>
  <si>
    <r>
      <t>F</t>
    </r>
    <r>
      <rPr>
        <vertAlign val="subscript"/>
        <sz val="10"/>
        <color theme="1"/>
        <rFont val="Arial"/>
        <family val="2"/>
      </rPr>
      <t>S,3</t>
    </r>
  </si>
  <si>
    <r>
      <t>D</t>
    </r>
    <r>
      <rPr>
        <vertAlign val="subscript"/>
        <sz val="10"/>
        <color theme="1"/>
        <rFont val="Arial"/>
        <family val="2"/>
      </rPr>
      <t>0</t>
    </r>
  </si>
  <si>
    <r>
      <t>D</t>
    </r>
    <r>
      <rPr>
        <vertAlign val="subscript"/>
        <sz val="10"/>
        <color theme="1"/>
        <rFont val="Arial"/>
        <family val="2"/>
      </rPr>
      <t>1</t>
    </r>
  </si>
  <si>
    <r>
      <t>D</t>
    </r>
    <r>
      <rPr>
        <vertAlign val="subscript"/>
        <sz val="10"/>
        <color theme="1"/>
        <rFont val="Arial"/>
        <family val="2"/>
      </rPr>
      <t>2</t>
    </r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</si>
  <si>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2</t>
    </r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</si>
  <si>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1</t>
    </r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</si>
  <si>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Symbol"/>
        <family val="1"/>
        <charset val="2"/>
      </rPr>
      <t>0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</si>
  <si>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</t>
    </r>
  </si>
  <si>
    <r>
      <t>A</t>
    </r>
    <r>
      <rPr>
        <vertAlign val="subscript"/>
        <sz val="10"/>
        <color theme="1"/>
        <rFont val="Arial"/>
        <family val="2"/>
      </rPr>
      <t>tg</t>
    </r>
  </si>
  <si>
    <r>
      <t>I</t>
    </r>
    <r>
      <rPr>
        <vertAlign val="subscript"/>
        <sz val="10"/>
        <color theme="1"/>
        <rFont val="Arial"/>
        <family val="2"/>
      </rPr>
      <t>tg</t>
    </r>
  </si>
  <si>
    <r>
      <t>[mm</t>
    </r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]</t>
    </r>
  </si>
  <si>
    <r>
      <t>A</t>
    </r>
    <r>
      <rPr>
        <vertAlign val="subscript"/>
        <sz val="10"/>
        <color theme="1"/>
        <rFont val="Arial"/>
        <family val="2"/>
      </rPr>
      <t>cf</t>
    </r>
  </si>
  <si>
    <r>
      <t>I</t>
    </r>
    <r>
      <rPr>
        <vertAlign val="subscript"/>
        <sz val="10"/>
        <color theme="1"/>
        <rFont val="Arial"/>
        <family val="2"/>
      </rPr>
      <t>cf</t>
    </r>
  </si>
  <si>
    <r>
      <t>k</t>
    </r>
    <r>
      <rPr>
        <vertAlign val="subscript"/>
        <sz val="10"/>
        <color theme="1"/>
        <rFont val="Arial"/>
        <family val="2"/>
      </rPr>
      <t>gap,tot</t>
    </r>
  </si>
  <si>
    <t>[N/mm/mm]</t>
  </si>
  <si>
    <r>
      <t>k</t>
    </r>
    <r>
      <rPr>
        <vertAlign val="subscript"/>
        <sz val="10"/>
        <color theme="1"/>
        <rFont val="Arial"/>
        <family val="2"/>
      </rPr>
      <t>shell,ini</t>
    </r>
  </si>
  <si>
    <t>Interpolated value</t>
  </si>
  <si>
    <t>Simplified formula</t>
  </si>
  <si>
    <t>Value used</t>
  </si>
  <si>
    <r>
      <t>k</t>
    </r>
    <r>
      <rPr>
        <vertAlign val="subscript"/>
        <sz val="10"/>
        <color theme="1"/>
        <rFont val="Arial"/>
        <family val="2"/>
      </rPr>
      <t>fac</t>
    </r>
  </si>
  <si>
    <r>
      <t>k</t>
    </r>
    <r>
      <rPr>
        <vertAlign val="subscript"/>
        <sz val="10"/>
        <color theme="1"/>
        <rFont val="Arial"/>
        <family val="2"/>
      </rPr>
      <t>fl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</si>
  <si>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gap,c</t>
    </r>
  </si>
  <si>
    <t>(valid in case T-Flange is calculated)</t>
  </si>
  <si>
    <r>
      <t>F</t>
    </r>
    <r>
      <rPr>
        <vertAlign val="subscript"/>
        <sz val="10"/>
        <color theme="1"/>
        <rFont val="Arial"/>
        <family val="2"/>
      </rPr>
      <t>V,c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</si>
  <si>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gap,inclination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</si>
  <si>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gap,tot</t>
    </r>
  </si>
  <si>
    <r>
      <t>F</t>
    </r>
    <r>
      <rPr>
        <vertAlign val="subscript"/>
        <sz val="10"/>
        <color theme="1"/>
        <rFont val="Arial"/>
        <family val="2"/>
      </rPr>
      <t>S,0</t>
    </r>
    <r>
      <rPr>
        <sz val="10"/>
        <color theme="1"/>
        <rFont val="Arial"/>
        <family val="2"/>
      </rPr>
      <t>=F</t>
    </r>
    <r>
      <rPr>
        <vertAlign val="subscript"/>
        <sz val="10"/>
        <color theme="1"/>
        <rFont val="Arial"/>
        <family val="2"/>
      </rPr>
      <t>S,2</t>
    </r>
  </si>
  <si>
    <r>
      <t>Z</t>
    </r>
    <r>
      <rPr>
        <vertAlign val="subscript"/>
        <sz val="10"/>
        <color theme="1"/>
        <rFont val="Arial"/>
        <family val="2"/>
      </rPr>
      <t>0</t>
    </r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</si>
  <si>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k</t>
    </r>
  </si>
  <si>
    <t>c</t>
  </si>
  <si>
    <r>
      <t>k</t>
    </r>
    <r>
      <rPr>
        <vertAlign val="subscript"/>
        <sz val="10"/>
        <color theme="1"/>
        <rFont val="Arial"/>
        <family val="2"/>
      </rPr>
      <t>seg</t>
    </r>
  </si>
  <si>
    <r>
      <t>Z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~</t>
    </r>
  </si>
  <si>
    <t>u</t>
  </si>
  <si>
    <r>
      <t>G</t>
    </r>
    <r>
      <rPr>
        <vertAlign val="subscript"/>
        <sz val="10"/>
        <color theme="1"/>
        <rFont val="Arial"/>
        <family val="2"/>
      </rPr>
      <t>twr</t>
    </r>
    <r>
      <rPr>
        <sz val="10"/>
        <color theme="1"/>
        <rFont val="Arial"/>
        <family val="2"/>
      </rPr>
      <t>+G</t>
    </r>
    <r>
      <rPr>
        <vertAlign val="subscript"/>
        <sz val="10"/>
        <color theme="1"/>
        <rFont val="Arial"/>
        <family val="2"/>
      </rPr>
      <t>RNA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</si>
  <si>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dw</t>
    </r>
  </si>
  <si>
    <r>
      <t>Z</t>
    </r>
    <r>
      <rPr>
        <vertAlign val="subscript"/>
        <sz val="10"/>
        <color theme="1"/>
        <rFont val="Arial"/>
        <family val="2"/>
      </rPr>
      <t>close</t>
    </r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</si>
  <si>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ini,true</t>
    </r>
  </si>
  <si>
    <r>
      <t>F</t>
    </r>
    <r>
      <rPr>
        <vertAlign val="subscript"/>
        <sz val="10"/>
        <color theme="1"/>
        <rFont val="Arial"/>
        <family val="2"/>
      </rPr>
      <t>S,min</t>
    </r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</si>
  <si>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ini,mod</t>
    </r>
  </si>
  <si>
    <r>
      <t>M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1"/>
        <charset val="2"/>
      </rPr>
      <t>(Z)</t>
    </r>
  </si>
  <si>
    <t>[Nm]</t>
  </si>
  <si>
    <t>Bending moment L-Flange as a function of external force Z</t>
  </si>
  <si>
    <t>a*</t>
  </si>
  <si>
    <r>
      <rPr>
        <sz val="10"/>
        <color theme="1"/>
        <rFont val="Symbol"/>
        <family val="1"/>
        <charset val="2"/>
      </rPr>
      <t>b</t>
    </r>
    <r>
      <rPr>
        <vertAlign val="subscript"/>
        <sz val="10"/>
        <color theme="1"/>
        <rFont val="Arial"/>
        <family val="2"/>
      </rPr>
      <t>S</t>
    </r>
  </si>
  <si>
    <t>[1/Nmm]</t>
  </si>
  <si>
    <t>Bending resilience of bolt assembly</t>
  </si>
  <si>
    <t>Bending moment for T-Flange as a function of external force Z</t>
  </si>
  <si>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</rPr>
      <t>S,T,low(Z)</t>
    </r>
  </si>
  <si>
    <t>Intermediate values as function of Z</t>
  </si>
  <si>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</rPr>
      <t>S,T,high(Z)</t>
    </r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</si>
  <si>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ini,M</t>
    </r>
  </si>
  <si>
    <r>
      <t>M</t>
    </r>
    <r>
      <rPr>
        <vertAlign val="subscript"/>
        <sz val="10"/>
        <color theme="1"/>
        <rFont val="Arial"/>
        <family val="2"/>
      </rPr>
      <t>S,min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</si>
</sst>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(0\)"/>
    <numFmt numFmtId="165" formatCode="0.0"/>
    <numFmt numFmtId="166" formatCode="0.000"/>
    <numFmt numFmtId="167" formatCode="0.0000000"/>
    <numFmt numFmtId="168" formatCode="0.000E+00"/>
    <numFmt numFmtId="169" formatCode="0.0000"/>
  </numFmts>
  <fonts count="10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1"/>
      <charset val="2"/>
    </font>
    <font>
      <sz val="10"/>
      <color theme="1"/>
      <name val="Symbol"/>
      <family val="1"/>
      <charset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vertAlign val="subscript"/>
      <sz val="10"/>
      <color theme="1"/>
      <name val="Symbol"/>
      <family val="1"/>
      <charset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lightUp">
        <bgColor theme="9" tint="0.5999938962981048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6" fillId="0" borderId="0" xfId="0" applyFont="1"/>
    <xf numFmtId="1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Flange sketch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25687119298772E-2"/>
          <c:y val="8.2947213395298688E-2"/>
          <c:w val="0.86569175456841485"/>
          <c:h val="0.8365031845219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[1]calcFLS!$P$33</c:f>
              <c:strCache>
                <c:ptCount val="1"/>
                <c:pt idx="0">
                  <c:v>154:B&amp;B Reference; Bolt: 120xM80 ISO; D=7500mm; a=232.5mm; b=166.5mm; s=72.0mm; s2=100.0mm; t=200.0mm; w=435.0mm; A=87000mm²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[1]Design!$AF$7:$AF$15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435</c:v>
                </c:pt>
                <c:pt idx="5">
                  <c:v>435</c:v>
                </c:pt>
                <c:pt idx="6">
                  <c:v>72</c:v>
                </c:pt>
                <c:pt idx="7">
                  <c:v>72</c:v>
                </c:pt>
                <c:pt idx="8">
                  <c:v>36</c:v>
                </c:pt>
              </c:numCache>
            </c:numRef>
          </c:xVal>
          <c:yVal>
            <c:numRef>
              <c:f>[1]Design!$AG$7:$AG$15</c:f>
              <c:numCache>
                <c:formatCode>General</c:formatCode>
                <c:ptCount val="9"/>
                <c:pt idx="0">
                  <c:v>266</c:v>
                </c:pt>
                <c:pt idx="1">
                  <c:v>230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230</c:v>
                </c:pt>
                <c:pt idx="8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4-4793-A2FC-D4D54B92BA8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[1]Design!$AF$18:$AF$19</c:f>
              <c:numCache>
                <c:formatCode>General</c:formatCode>
                <c:ptCount val="2"/>
                <c:pt idx="0">
                  <c:v>202.5</c:v>
                </c:pt>
                <c:pt idx="1">
                  <c:v>202.5</c:v>
                </c:pt>
              </c:numCache>
            </c:numRef>
          </c:xVal>
          <c:yVal>
            <c:numRef>
              <c:f>[1]Design!$AG$18:$AG$19</c:f>
              <c:numCache>
                <c:formatCode>General</c:formatCode>
                <c:ptCount val="2"/>
                <c:pt idx="0">
                  <c:v>0</c:v>
                </c:pt>
                <c:pt idx="1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4-4793-A2FC-D4D54B92BA86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[1]Design!$AF$21:$AF$22</c:f>
              <c:numCache>
                <c:formatCode>General</c:formatCode>
                <c:ptCount val="2"/>
                <c:pt idx="0">
                  <c:v>162.5</c:v>
                </c:pt>
                <c:pt idx="1">
                  <c:v>162.5</c:v>
                </c:pt>
              </c:numCache>
            </c:numRef>
          </c:xVal>
          <c:yVal>
            <c:numRef>
              <c:f>[1]Design!$AG$21:$AG$22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4-4793-A2FC-D4D54B92BA86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[1]Design!$AF$24:$AF$25</c:f>
              <c:numCache>
                <c:formatCode>General</c:formatCode>
                <c:ptCount val="2"/>
                <c:pt idx="0">
                  <c:v>242.5</c:v>
                </c:pt>
                <c:pt idx="1">
                  <c:v>242.5</c:v>
                </c:pt>
              </c:numCache>
            </c:numRef>
          </c:xVal>
          <c:yVal>
            <c:numRef>
              <c:f>[1]Design!$AG$24:$AG$25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793-A2FC-D4D54B92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28831"/>
        <c:axId val="1066567791"/>
      </c:scatterChart>
      <c:valAx>
        <c:axId val="81262883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6567791"/>
        <c:crosses val="autoZero"/>
        <c:crossBetween val="midCat"/>
      </c:valAx>
      <c:valAx>
        <c:axId val="106656779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628831"/>
        <c:crosses val="autoZero"/>
        <c:crossBetween val="midCat"/>
        <c:majorUnit val="100"/>
      </c:valAx>
      <c:spPr>
        <a:noFill/>
        <a:ln>
          <a:solidFill>
            <a:schemeClr val="tx1">
              <a:lumMod val="25000"/>
              <a:lumOff val="75000"/>
              <a:alpha val="94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676700334503"/>
          <c:y val="0.11249602467439239"/>
          <c:w val="0.69184979353151832"/>
          <c:h val="0.24945713960806035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2</xdr:row>
          <xdr:rowOff>152400</xdr:rowOff>
        </xdr:from>
        <xdr:to>
          <xdr:col>13</xdr:col>
          <xdr:colOff>333375</xdr:colOff>
          <xdr:row>6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B0993AB-0024-45BE-9F43-765278860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Design 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280147</xdr:colOff>
      <xdr:row>3</xdr:row>
      <xdr:rowOff>67235</xdr:rowOff>
    </xdr:from>
    <xdr:to>
      <xdr:col>5</xdr:col>
      <xdr:colOff>466516</xdr:colOff>
      <xdr:row>23</xdr:row>
      <xdr:rowOff>114096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1A2453-1237-42DF-9660-86482119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rc_seidel_siemensgamesa_com/Documents/Documents/80_Codes_and_Standards/IEC/61400-6/2023_Amendment/20_Flange_Example/2024_MonteCarlo/Flange_Design_2022_V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d"/>
      <sheetName val="Notes"/>
      <sheetName val="Design"/>
      <sheetName val="Summary"/>
      <sheetName val="Summary_V2"/>
      <sheetName val="FEA_Summary"/>
      <sheetName val="DesignGaps_2"/>
      <sheetName val="AFToR_June2023"/>
      <sheetName val="Poly"/>
      <sheetName val="Flanges"/>
      <sheetName val="calcULS"/>
      <sheetName val="calcFLS"/>
      <sheetName val="AMD1"/>
      <sheetName val="Comp"/>
      <sheetName val="DesignGaps"/>
      <sheetName val="MonteCarlo"/>
      <sheetName val="Gap_close"/>
      <sheetName val="Def_T"/>
      <sheetName val="Inclination"/>
      <sheetName val="Coefficients"/>
      <sheetName val="MC_AllGaps"/>
      <sheetName val="S-N_Stud"/>
      <sheetName val="Bolts_short"/>
      <sheetName val="VDI2230"/>
      <sheetName val="Settlement"/>
      <sheetName val="Markov"/>
      <sheetName val="BOLT DATA"/>
      <sheetName val="ShellStiffness"/>
      <sheetName val="MeanStress"/>
      <sheetName val="Flange_SCF"/>
    </sheetNames>
    <definedNames>
      <definedName name="GetAMD1Results"/>
    </definedNames>
    <sheetDataSet>
      <sheetData sheetId="0"/>
      <sheetData sheetId="1"/>
      <sheetData sheetId="2">
        <row r="7">
          <cell r="AF7">
            <v>36</v>
          </cell>
          <cell r="AG7">
            <v>266</v>
          </cell>
        </row>
        <row r="8">
          <cell r="AF8">
            <v>0</v>
          </cell>
          <cell r="AG8">
            <v>230</v>
          </cell>
        </row>
        <row r="9">
          <cell r="AF9">
            <v>0</v>
          </cell>
          <cell r="AG9">
            <v>200</v>
          </cell>
        </row>
        <row r="10">
          <cell r="AF10">
            <v>0</v>
          </cell>
          <cell r="AG10">
            <v>0</v>
          </cell>
        </row>
        <row r="11">
          <cell r="AF11">
            <v>435</v>
          </cell>
          <cell r="AG11">
            <v>0</v>
          </cell>
        </row>
        <row r="12">
          <cell r="AF12">
            <v>435</v>
          </cell>
          <cell r="AG12">
            <v>200</v>
          </cell>
        </row>
        <row r="13">
          <cell r="AF13">
            <v>72</v>
          </cell>
          <cell r="AG13">
            <v>200</v>
          </cell>
        </row>
        <row r="14">
          <cell r="AF14">
            <v>72</v>
          </cell>
          <cell r="AG14">
            <v>230</v>
          </cell>
        </row>
        <row r="15">
          <cell r="AF15">
            <v>36</v>
          </cell>
          <cell r="AG15">
            <v>266</v>
          </cell>
        </row>
        <row r="18">
          <cell r="AF18">
            <v>202.5</v>
          </cell>
          <cell r="AG18">
            <v>0</v>
          </cell>
        </row>
        <row r="19">
          <cell r="AF19">
            <v>202.5</v>
          </cell>
          <cell r="AG19">
            <v>266</v>
          </cell>
        </row>
        <row r="21">
          <cell r="AF21">
            <v>162.5</v>
          </cell>
          <cell r="AG21">
            <v>0</v>
          </cell>
        </row>
        <row r="22">
          <cell r="AF22">
            <v>162.5</v>
          </cell>
          <cell r="AG22">
            <v>200</v>
          </cell>
        </row>
        <row r="24">
          <cell r="AF24">
            <v>242.5</v>
          </cell>
          <cell r="AG24">
            <v>0</v>
          </cell>
        </row>
        <row r="25">
          <cell r="AF25">
            <v>242.5</v>
          </cell>
          <cell r="AG25">
            <v>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H6">
            <v>7500</v>
          </cell>
        </row>
        <row r="7">
          <cell r="BQ7">
            <v>1</v>
          </cell>
        </row>
        <row r="8">
          <cell r="BQ8">
            <v>0</v>
          </cell>
        </row>
        <row r="9">
          <cell r="BQ9">
            <v>1.1112353497098411</v>
          </cell>
        </row>
        <row r="11">
          <cell r="BH11">
            <v>2876</v>
          </cell>
        </row>
        <row r="12">
          <cell r="BV12">
            <v>1.4</v>
          </cell>
        </row>
        <row r="14">
          <cell r="BP14">
            <v>2068.2520235998149</v>
          </cell>
          <cell r="BQ14">
            <v>3595</v>
          </cell>
        </row>
        <row r="16">
          <cell r="BH16">
            <v>0.1423059102718657</v>
          </cell>
        </row>
        <row r="17">
          <cell r="G17">
            <v>14795</v>
          </cell>
          <cell r="BL17">
            <v>112.77695050276786</v>
          </cell>
        </row>
        <row r="18">
          <cell r="BL18">
            <v>123831110.42899768</v>
          </cell>
        </row>
        <row r="20">
          <cell r="BH20">
            <v>37149.333128699305</v>
          </cell>
        </row>
        <row r="25">
          <cell r="O25">
            <v>9</v>
          </cell>
        </row>
        <row r="26">
          <cell r="C26">
            <v>4344.0716042398344</v>
          </cell>
        </row>
        <row r="27">
          <cell r="BL27">
            <v>120</v>
          </cell>
        </row>
        <row r="28">
          <cell r="BL28">
            <v>7853.981633974483</v>
          </cell>
        </row>
        <row r="30">
          <cell r="AZ30">
            <v>8.0814590704625683E-2</v>
          </cell>
          <cell r="BH30">
            <v>-123.29166666666667</v>
          </cell>
          <cell r="BP30">
            <v>9.3929742888128082E-2</v>
          </cell>
          <cell r="BQ30">
            <v>0.55288838292446807</v>
          </cell>
        </row>
        <row r="32">
          <cell r="AZ32">
            <v>-27.530526929680075</v>
          </cell>
          <cell r="BH32">
            <v>-804.6173206021823</v>
          </cell>
          <cell r="BP32">
            <v>2844.0016282513757</v>
          </cell>
          <cell r="BQ32">
            <v>-220.44280819205335</v>
          </cell>
          <cell r="BV32">
            <v>0</v>
          </cell>
          <cell r="BX32">
            <v>0</v>
          </cell>
        </row>
        <row r="33">
          <cell r="P33" t="str">
            <v>154:B&amp;B Reference; Bolt: 120xM80 ISO; D=7500mm; a=232.5mm; b=166.5mm; s=72.0mm; s2=100.0mm; t=200.0mm; w=435.0mm; A=87000mm²</v>
          </cell>
        </row>
        <row r="35">
          <cell r="BH35">
            <v>3323.2147772434732</v>
          </cell>
          <cell r="BL35">
            <v>3.9552630780086151</v>
          </cell>
        </row>
        <row r="38">
          <cell r="H38">
            <v>321.69550000000004</v>
          </cell>
          <cell r="I38">
            <v>-318.4495</v>
          </cell>
        </row>
        <row r="39">
          <cell r="BH39">
            <v>1320.324829474062</v>
          </cell>
        </row>
      </sheetData>
      <sheetData sheetId="12"/>
      <sheetData sheetId="13"/>
      <sheetData sheetId="14">
        <row r="53">
          <cell r="C53">
            <v>2.1533230192475301</v>
          </cell>
          <cell r="H53">
            <v>3.9552630780086151</v>
          </cell>
        </row>
      </sheetData>
      <sheetData sheetId="15"/>
      <sheetData sheetId="16">
        <row r="15">
          <cell r="E15">
            <v>194.0980661142894</v>
          </cell>
        </row>
        <row r="18">
          <cell r="E18">
            <v>87000</v>
          </cell>
        </row>
        <row r="19">
          <cell r="E19">
            <v>290000000</v>
          </cell>
        </row>
        <row r="25">
          <cell r="E25">
            <v>2.9062003167089676</v>
          </cell>
        </row>
        <row r="26">
          <cell r="E26">
            <v>800.4072256196913</v>
          </cell>
        </row>
        <row r="27">
          <cell r="E27">
            <v>594.89447044033909</v>
          </cell>
        </row>
        <row r="28">
          <cell r="E28">
            <v>6.3920006148981718</v>
          </cell>
        </row>
        <row r="29">
          <cell r="E29">
            <v>806.79922623458947</v>
          </cell>
        </row>
        <row r="34">
          <cell r="E34">
            <v>309.693479061598</v>
          </cell>
        </row>
        <row r="61">
          <cell r="E61">
            <v>1386.9263696642993</v>
          </cell>
        </row>
        <row r="64">
          <cell r="E64">
            <v>0.44780286498460981</v>
          </cell>
        </row>
        <row r="65">
          <cell r="E65">
            <v>15956.782644600848</v>
          </cell>
        </row>
      </sheetData>
      <sheetData sheetId="17">
        <row r="10">
          <cell r="J10">
            <v>298394.39776040422</v>
          </cell>
        </row>
        <row r="25">
          <cell r="C25">
            <v>579.62119250410046</v>
          </cell>
        </row>
      </sheetData>
      <sheetData sheetId="18"/>
      <sheetData sheetId="19">
        <row r="8">
          <cell r="E8">
            <v>-123.29166666666667</v>
          </cell>
          <cell r="F8">
            <v>2876</v>
          </cell>
        </row>
        <row r="9">
          <cell r="E9">
            <v>1541.2016094157079</v>
          </cell>
          <cell r="F9">
            <v>3595</v>
          </cell>
        </row>
        <row r="10">
          <cell r="E10">
            <v>114.91573803665135</v>
          </cell>
          <cell r="F10">
            <v>2909.8983215598046</v>
          </cell>
        </row>
        <row r="22">
          <cell r="E22">
            <v>565514679.49266434</v>
          </cell>
        </row>
        <row r="23">
          <cell r="E23">
            <v>114847.59567491277</v>
          </cell>
        </row>
        <row r="24">
          <cell r="E24">
            <v>81438036.502008379</v>
          </cell>
        </row>
        <row r="26">
          <cell r="E26">
            <v>2.0308508309270604E-4</v>
          </cell>
        </row>
        <row r="27">
          <cell r="E27">
            <v>0.14400693643367177</v>
          </cell>
        </row>
        <row r="29">
          <cell r="E29">
            <v>2890.6677923513116</v>
          </cell>
        </row>
      </sheetData>
      <sheetData sheetId="20"/>
      <sheetData sheetId="21"/>
      <sheetData sheetId="22"/>
      <sheetData sheetId="23">
        <row r="7">
          <cell r="X7">
            <v>1</v>
          </cell>
          <cell r="Y7">
            <v>2</v>
          </cell>
          <cell r="Z7">
            <v>3</v>
          </cell>
          <cell r="AA7">
            <v>4</v>
          </cell>
          <cell r="AB7">
            <v>5</v>
          </cell>
          <cell r="AC7">
            <v>6</v>
          </cell>
          <cell r="AD7">
            <v>7</v>
          </cell>
          <cell r="AE7">
            <v>8</v>
          </cell>
          <cell r="AF7">
            <v>9</v>
          </cell>
          <cell r="AG7">
            <v>10</v>
          </cell>
        </row>
        <row r="9">
          <cell r="X9" t="str">
            <v>Paint</v>
          </cell>
          <cell r="Z9" t="str">
            <v>Metalization</v>
          </cell>
          <cell r="AB9" t="str">
            <v>DASt 021</v>
          </cell>
          <cell r="AC9" t="str">
            <v>Paint</v>
          </cell>
          <cell r="AE9" t="str">
            <v>Metalization</v>
          </cell>
          <cell r="AG9" t="str">
            <v>ITH</v>
          </cell>
        </row>
        <row r="10">
          <cell r="X10" t="str">
            <v>Dry</v>
          </cell>
          <cell r="Y10" t="str">
            <v>Wet</v>
          </cell>
          <cell r="Z10" t="str">
            <v>Dry</v>
          </cell>
          <cell r="AA10" t="str">
            <v>Wet</v>
          </cell>
          <cell r="AC10" t="str">
            <v>No 500h</v>
          </cell>
          <cell r="AD10" t="str">
            <v>500h</v>
          </cell>
          <cell r="AE10" t="str">
            <v>No 500h</v>
          </cell>
          <cell r="AF10" t="str">
            <v>500h</v>
          </cell>
        </row>
        <row r="11">
          <cell r="X11">
            <v>3010.4416217382054</v>
          </cell>
          <cell r="Y11">
            <v>2408.3532973905644</v>
          </cell>
          <cell r="Z11">
            <v>3010.4416217382054</v>
          </cell>
          <cell r="AA11">
            <v>2408.3532973905644</v>
          </cell>
          <cell r="AC11">
            <v>3144.2390271487925</v>
          </cell>
          <cell r="AD11">
            <v>3144.2390271487925</v>
          </cell>
          <cell r="AE11">
            <v>3144.2390271487925</v>
          </cell>
          <cell r="AF11">
            <v>3144.2390271487925</v>
          </cell>
        </row>
        <row r="12">
          <cell r="X12">
            <v>0.1</v>
          </cell>
          <cell r="Y12">
            <v>0.15</v>
          </cell>
          <cell r="Z12">
            <v>0.1</v>
          </cell>
          <cell r="AA12">
            <v>0.15</v>
          </cell>
          <cell r="AB12">
            <v>0.1</v>
          </cell>
          <cell r="AC12">
            <v>0.03</v>
          </cell>
          <cell r="AD12">
            <v>0.03</v>
          </cell>
          <cell r="AE12">
            <v>0.03</v>
          </cell>
          <cell r="AF12">
            <v>0.03</v>
          </cell>
          <cell r="AG12">
            <v>0.03</v>
          </cell>
        </row>
        <row r="13">
          <cell r="X13">
            <v>100</v>
          </cell>
          <cell r="Y13">
            <v>100</v>
          </cell>
          <cell r="Z13">
            <v>67</v>
          </cell>
          <cell r="AA13">
            <v>67</v>
          </cell>
          <cell r="AC13">
            <v>100</v>
          </cell>
          <cell r="AD13">
            <v>50</v>
          </cell>
          <cell r="AE13">
            <v>66.604256592149881</v>
          </cell>
          <cell r="AF13">
            <v>33.30212829607494</v>
          </cell>
        </row>
        <row r="14">
          <cell r="X14">
            <v>146.71739677378389</v>
          </cell>
          <cell r="Y14">
            <v>146.71739677378389</v>
          </cell>
          <cell r="Z14">
            <v>98.300655838435205</v>
          </cell>
          <cell r="AA14">
            <v>98.300655838435205</v>
          </cell>
          <cell r="AC14">
            <v>146.71739677378389</v>
          </cell>
          <cell r="AD14">
            <v>73.358698386891945</v>
          </cell>
          <cell r="AE14">
            <v>97.720031412533658</v>
          </cell>
          <cell r="AF14">
            <v>48.860015706266829</v>
          </cell>
        </row>
        <row r="15">
          <cell r="X15">
            <v>2863.7242249644214</v>
          </cell>
          <cell r="Y15">
            <v>2261.6359006167804</v>
          </cell>
          <cell r="Z15">
            <v>2912.14096589977</v>
          </cell>
          <cell r="AA15">
            <v>2310.052641552129</v>
          </cell>
          <cell r="AB15">
            <v>2951.5260323159782</v>
          </cell>
          <cell r="AC15">
            <v>2997.5216303750085</v>
          </cell>
          <cell r="AD15">
            <v>3070.8803287619007</v>
          </cell>
          <cell r="AE15">
            <v>3046.5189957362591</v>
          </cell>
          <cell r="AF15">
            <v>3095.3790114425256</v>
          </cell>
        </row>
        <row r="16">
          <cell r="X16">
            <v>2520</v>
          </cell>
          <cell r="Y16">
            <v>1911</v>
          </cell>
          <cell r="Z16">
            <v>2563</v>
          </cell>
          <cell r="AA16">
            <v>1952</v>
          </cell>
          <cell r="AB16">
            <v>2466</v>
          </cell>
          <cell r="AC16">
            <v>2785</v>
          </cell>
          <cell r="AD16">
            <v>2853</v>
          </cell>
          <cell r="AE16">
            <v>2830</v>
          </cell>
          <cell r="AF16">
            <v>2876</v>
          </cell>
          <cell r="AG16">
            <v>2736</v>
          </cell>
        </row>
        <row r="17">
          <cell r="X17">
            <v>2520</v>
          </cell>
          <cell r="Y17">
            <v>1911</v>
          </cell>
          <cell r="Z17">
            <v>2563</v>
          </cell>
          <cell r="AA17">
            <v>1952</v>
          </cell>
          <cell r="AB17">
            <v>2466</v>
          </cell>
          <cell r="AC17">
            <v>2785</v>
          </cell>
          <cell r="AD17">
            <v>2853</v>
          </cell>
          <cell r="AE17">
            <v>2830</v>
          </cell>
          <cell r="AF17">
            <v>2876</v>
          </cell>
          <cell r="AG17">
            <v>2736</v>
          </cell>
        </row>
        <row r="18">
          <cell r="X18">
            <v>2466</v>
          </cell>
          <cell r="Y18">
            <v>1911</v>
          </cell>
          <cell r="Z18">
            <v>2466</v>
          </cell>
          <cell r="AA18">
            <v>1952</v>
          </cell>
          <cell r="AB18">
            <v>2466</v>
          </cell>
          <cell r="AC18">
            <v>2466</v>
          </cell>
          <cell r="AD18">
            <v>2466</v>
          </cell>
          <cell r="AE18">
            <v>2466</v>
          </cell>
          <cell r="AF18">
            <v>2466</v>
          </cell>
          <cell r="AG18">
            <v>2466</v>
          </cell>
        </row>
        <row r="20">
          <cell r="X20" t="str">
            <v>HV_Paint_Dry</v>
          </cell>
          <cell r="Y20" t="str">
            <v>HV_Paint_Wet</v>
          </cell>
          <cell r="Z20" t="str">
            <v>HV_Metalization_Dry</v>
          </cell>
          <cell r="AA20" t="str">
            <v>HV_Metalization_Wet</v>
          </cell>
          <cell r="AB20" t="str">
            <v>DASt 021</v>
          </cell>
          <cell r="AC20" t="str">
            <v>Tension_Paint_No 500h</v>
          </cell>
          <cell r="AD20" t="str">
            <v>Tension_Paint_500h</v>
          </cell>
          <cell r="AE20" t="str">
            <v>Tension_Metalization_No 500h</v>
          </cell>
          <cell r="AF20" t="str">
            <v>Tension_Metalization_500h</v>
          </cell>
          <cell r="AG20" t="str">
            <v>ITH</v>
          </cell>
        </row>
        <row r="21">
          <cell r="Y21" t="str">
            <v>Maximum:</v>
          </cell>
          <cell r="AA21">
            <v>3095.3790114425256</v>
          </cell>
          <cell r="AF21">
            <v>4.2761308678754144</v>
          </cell>
        </row>
        <row r="24">
          <cell r="X24" t="str">
            <v>Paint system</v>
          </cell>
          <cell r="Z24" t="str">
            <v>Metalization</v>
          </cell>
          <cell r="AC24" t="str">
            <v>Paint system</v>
          </cell>
          <cell r="AE24" t="str">
            <v>Metalization</v>
          </cell>
        </row>
        <row r="25">
          <cell r="X25" t="str">
            <v>Dry</v>
          </cell>
          <cell r="Y25" t="str">
            <v>Wet</v>
          </cell>
          <cell r="Z25" t="str">
            <v>Dry</v>
          </cell>
          <cell r="AA25" t="str">
            <v>Wet</v>
          </cell>
          <cell r="AC25" t="str">
            <v>No 500h</v>
          </cell>
          <cell r="AD25" t="str">
            <v>500h</v>
          </cell>
          <cell r="AE25" t="str">
            <v>No 500h</v>
          </cell>
          <cell r="AF25" t="str">
            <v>500h</v>
          </cell>
        </row>
        <row r="26">
          <cell r="X26">
            <v>0.92516109154266468</v>
          </cell>
          <cell r="Y26">
            <v>0.73064910379514414</v>
          </cell>
          <cell r="Z26">
            <v>0.94080271111699432</v>
          </cell>
          <cell r="AA26">
            <v>0.74629072336947377</v>
          </cell>
          <cell r="AC26">
            <v>0.96838597770878043</v>
          </cell>
          <cell r="AD26">
            <v>0.99208540130624978</v>
          </cell>
          <cell r="AE26">
            <v>0.9842151750962812</v>
          </cell>
          <cell r="AF26">
            <v>1</v>
          </cell>
        </row>
        <row r="28">
          <cell r="AE28">
            <v>4.4287949921752743</v>
          </cell>
        </row>
        <row r="40">
          <cell r="E40">
            <v>5.8458922294713928E-7</v>
          </cell>
          <cell r="J40">
            <v>1.6641565715404047E-9</v>
          </cell>
        </row>
        <row r="44">
          <cell r="E44">
            <v>9.6993208304588429E-8</v>
          </cell>
        </row>
      </sheetData>
      <sheetData sheetId="24">
        <row r="5">
          <cell r="E5">
            <v>200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7E62-8FF7-4AD2-BF4C-A9FE923E276B}">
  <sheetPr codeName="Tabelle12"/>
  <dimension ref="B2:P120"/>
  <sheetViews>
    <sheetView showGridLines="0" tabSelected="1" zoomScaleNormal="100" workbookViewId="0">
      <selection activeCell="K1" sqref="K1"/>
    </sheetView>
  </sheetViews>
  <sheetFormatPr baseColWidth="10" defaultRowHeight="12.75"/>
  <cols>
    <col min="1" max="1" width="2.7109375" customWidth="1"/>
    <col min="3" max="4" width="14.85546875" customWidth="1"/>
    <col min="5" max="5" width="16.85546875" customWidth="1"/>
    <col min="6" max="6" width="66.42578125" bestFit="1" customWidth="1"/>
    <col min="8" max="8" width="0" hidden="1" customWidth="1"/>
  </cols>
  <sheetData>
    <row r="2" spans="2:12">
      <c r="B2" s="1" t="s">
        <v>0</v>
      </c>
      <c r="L2" s="1" t="s">
        <v>1</v>
      </c>
    </row>
    <row r="4" spans="2:12">
      <c r="B4" s="1" t="s">
        <v>2</v>
      </c>
    </row>
    <row r="26" spans="2:16"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3"/>
      <c r="H26" s="3"/>
      <c r="I26" s="2" t="s">
        <v>3</v>
      </c>
      <c r="J26" s="2" t="s">
        <v>4</v>
      </c>
      <c r="K26" s="2" t="s">
        <v>5</v>
      </c>
      <c r="L26" s="2" t="s">
        <v>8</v>
      </c>
      <c r="M26" s="2" t="s">
        <v>9</v>
      </c>
      <c r="N26" s="2" t="s">
        <v>10</v>
      </c>
      <c r="O26" s="2" t="s">
        <v>11</v>
      </c>
    </row>
    <row r="27" spans="2:16" ht="15.75">
      <c r="B27" s="4">
        <v>1</v>
      </c>
      <c r="C27" s="5" t="s">
        <v>12</v>
      </c>
      <c r="E27" s="6"/>
      <c r="F27" t="s">
        <v>13</v>
      </c>
      <c r="I27" s="4">
        <v>1</v>
      </c>
      <c r="J27" s="5" t="s">
        <v>12</v>
      </c>
      <c r="L27" s="6"/>
      <c r="M27" s="6"/>
      <c r="N27" s="6"/>
      <c r="O27" s="6"/>
      <c r="P27" t="str">
        <f>IF(F27&lt;&gt;"",F27,"")</f>
        <v>Simplified formula used, therefore not evaluated</v>
      </c>
    </row>
    <row r="28" spans="2:16" ht="15.75">
      <c r="B28" s="4">
        <f>B27+1</f>
        <v>2</v>
      </c>
      <c r="C28" s="7" t="s">
        <v>14</v>
      </c>
      <c r="D28" s="5" t="s">
        <v>15</v>
      </c>
      <c r="E28" s="8">
        <f>0.05*E34</f>
        <v>153.74071147146736</v>
      </c>
      <c r="F28" t="s">
        <v>16</v>
      </c>
      <c r="I28" s="4">
        <f>I27+1</f>
        <v>2</v>
      </c>
      <c r="J28" s="7" t="s">
        <v>14</v>
      </c>
      <c r="K28" s="5" t="s">
        <v>15</v>
      </c>
      <c r="L28" s="8">
        <v>153.74071147146736</v>
      </c>
      <c r="M28" s="8">
        <v>153.74071147146736</v>
      </c>
      <c r="N28" s="8">
        <v>153.74071147146736</v>
      </c>
      <c r="O28" s="8">
        <v>153.74071147146736</v>
      </c>
      <c r="P28" t="str">
        <f t="shared" ref="P28:P103" si="0">IF(F28&lt;&gt;"",F28,"")</f>
        <v>Simplified formula used, therefore not used directly (but reported here for info)</v>
      </c>
    </row>
    <row r="29" spans="2:16" ht="15.75">
      <c r="B29" s="4"/>
      <c r="C29" s="7" t="s">
        <v>17</v>
      </c>
      <c r="D29" s="5" t="s">
        <v>18</v>
      </c>
      <c r="E29" s="8">
        <v>900</v>
      </c>
      <c r="F29" t="s">
        <v>19</v>
      </c>
      <c r="I29" s="4"/>
      <c r="J29" s="7" t="s">
        <v>17</v>
      </c>
      <c r="K29" s="5" t="s">
        <v>18</v>
      </c>
      <c r="L29" s="8">
        <v>900</v>
      </c>
      <c r="M29" s="8">
        <v>900</v>
      </c>
      <c r="N29" s="8">
        <v>900</v>
      </c>
      <c r="O29" s="8">
        <v>900</v>
      </c>
      <c r="P29" t="str">
        <f t="shared" si="0"/>
        <v>Nominal yield strength (0.2% strain limit) for 10.9 bolts</v>
      </c>
    </row>
    <row r="30" spans="2:16" ht="15.75">
      <c r="B30" s="4"/>
      <c r="C30" s="7" t="s">
        <v>20</v>
      </c>
      <c r="D30" s="5" t="s">
        <v>21</v>
      </c>
      <c r="E30" s="8">
        <f>[1]calcFLS!C26</f>
        <v>4344.0716042398344</v>
      </c>
      <c r="I30" s="4"/>
      <c r="J30" s="7" t="s">
        <v>20</v>
      </c>
      <c r="K30" s="5" t="s">
        <v>21</v>
      </c>
      <c r="L30" s="8">
        <v>4344.0716042398344</v>
      </c>
      <c r="M30" s="8">
        <v>4344.0716042398344</v>
      </c>
      <c r="N30" s="8">
        <v>4344.0716042398344</v>
      </c>
      <c r="O30" s="8">
        <v>4344.0716042398344</v>
      </c>
      <c r="P30" t="str">
        <f t="shared" si="0"/>
        <v/>
      </c>
    </row>
    <row r="31" spans="2:16" ht="15.75">
      <c r="B31" s="4">
        <f>B28+1</f>
        <v>3</v>
      </c>
      <c r="C31" s="5" t="s">
        <v>12</v>
      </c>
      <c r="D31" s="5" t="s">
        <v>15</v>
      </c>
      <c r="E31" s="8">
        <f>[1]calcFLS!BH11</f>
        <v>2876</v>
      </c>
      <c r="F31" t="s">
        <v>22</v>
      </c>
      <c r="I31" s="4">
        <f>I28+1</f>
        <v>3</v>
      </c>
      <c r="J31" s="5" t="s">
        <v>12</v>
      </c>
      <c r="K31" s="5" t="s">
        <v>15</v>
      </c>
      <c r="L31" s="8">
        <v>2876</v>
      </c>
      <c r="M31" s="8">
        <v>2876</v>
      </c>
      <c r="N31" s="8">
        <v>2876</v>
      </c>
      <c r="O31" s="8">
        <v>2876</v>
      </c>
      <c r="P31" t="str">
        <f t="shared" si="0"/>
        <v>Design value of preload, simplified formula</v>
      </c>
    </row>
    <row r="32" spans="2:16" ht="15.75">
      <c r="B32" s="4"/>
      <c r="C32" s="5" t="s">
        <v>23</v>
      </c>
      <c r="D32" s="5" t="s">
        <v>15</v>
      </c>
      <c r="E32" s="8">
        <f>HLOOKUP([1]calcFLS!$O$25,[1]VDI2230!$X$7:$AG$18,5)</f>
        <v>3144.2390271487925</v>
      </c>
      <c r="I32" s="4"/>
      <c r="J32" s="5" t="s">
        <v>23</v>
      </c>
      <c r="K32" s="5" t="s">
        <v>15</v>
      </c>
      <c r="L32" s="8">
        <v>3144.2390271487925</v>
      </c>
      <c r="M32" s="8">
        <v>3144.2390271487925</v>
      </c>
      <c r="N32" s="8">
        <v>3144.2390271487925</v>
      </c>
      <c r="O32" s="8">
        <v>3144.2390271487925</v>
      </c>
      <c r="P32" t="str">
        <f t="shared" si="0"/>
        <v/>
      </c>
    </row>
    <row r="33" spans="2:16" ht="15.75">
      <c r="B33" s="4"/>
      <c r="C33" s="5" t="s">
        <v>24</v>
      </c>
      <c r="D33" s="5" t="s">
        <v>25</v>
      </c>
      <c r="E33" s="9">
        <f>HLOOKUP([1]calcFLS!$O$25,[1]VDI2230!$X$7:$AG$18,6)</f>
        <v>0.03</v>
      </c>
      <c r="I33" s="4"/>
      <c r="J33" s="5" t="s">
        <v>24</v>
      </c>
      <c r="K33" s="5" t="s">
        <v>25</v>
      </c>
      <c r="L33" s="9">
        <v>0.03</v>
      </c>
      <c r="M33" s="9">
        <v>0.03</v>
      </c>
      <c r="N33" s="9">
        <v>0.03</v>
      </c>
      <c r="O33" s="9">
        <v>0.03</v>
      </c>
      <c r="P33" t="str">
        <f t="shared" si="0"/>
        <v/>
      </c>
    </row>
    <row r="34" spans="2:16" ht="15.75">
      <c r="B34" s="4"/>
      <c r="C34" s="5" t="s">
        <v>26</v>
      </c>
      <c r="D34" s="5" t="s">
        <v>15</v>
      </c>
      <c r="E34" s="8">
        <f>(1-0.736*E33)*E32</f>
        <v>3074.8142294293471</v>
      </c>
      <c r="F34" t="s">
        <v>27</v>
      </c>
      <c r="I34" s="4"/>
      <c r="J34" s="5" t="s">
        <v>26</v>
      </c>
      <c r="K34" s="5" t="s">
        <v>15</v>
      </c>
      <c r="L34" s="8">
        <v>3074.8142294293471</v>
      </c>
      <c r="M34" s="8">
        <v>3074.8142294293471</v>
      </c>
      <c r="N34" s="8">
        <v>3074.8142294293471</v>
      </c>
      <c r="O34" s="8">
        <v>3074.8142294293471</v>
      </c>
      <c r="P34" t="str">
        <f t="shared" si="0"/>
        <v>Design preload averaged over 5 bolts</v>
      </c>
    </row>
    <row r="35" spans="2:16" ht="15.75">
      <c r="B35" s="10">
        <f>B31+1</f>
        <v>4</v>
      </c>
      <c r="C35" s="11" t="s">
        <v>28</v>
      </c>
      <c r="D35" s="11" t="s">
        <v>15</v>
      </c>
      <c r="E35" s="12">
        <f>HLOOKUP([1]calcFLS!$O$25,[1]VDI2230!$X$7:$AG$28,12)</f>
        <v>2466</v>
      </c>
      <c r="F35" s="13" t="s">
        <v>29</v>
      </c>
      <c r="G35" s="13"/>
      <c r="H35" s="13"/>
      <c r="I35" s="10">
        <f>I31+1</f>
        <v>4</v>
      </c>
      <c r="J35" s="11" t="s">
        <v>28</v>
      </c>
      <c r="K35" s="11" t="s">
        <v>15</v>
      </c>
      <c r="L35" s="12">
        <v>2466</v>
      </c>
      <c r="M35" s="12">
        <v>2466</v>
      </c>
      <c r="N35" s="12">
        <v>2466</v>
      </c>
      <c r="O35" s="12">
        <v>2466</v>
      </c>
      <c r="P35" t="str">
        <f t="shared" si="0"/>
        <v>Limit value for HV bolts</v>
      </c>
    </row>
    <row r="36" spans="2:16" ht="15.75">
      <c r="B36" s="4"/>
      <c r="C36" s="7" t="s">
        <v>30</v>
      </c>
      <c r="D36" s="5" t="s">
        <v>31</v>
      </c>
      <c r="E36" s="14">
        <f>[1]VDI2230!E40/1000</f>
        <v>5.8458922294713925E-10</v>
      </c>
      <c r="I36" s="4"/>
      <c r="J36" s="7" t="s">
        <v>30</v>
      </c>
      <c r="K36" s="5" t="s">
        <v>31</v>
      </c>
      <c r="L36" s="14">
        <v>5.8458922294713925E-10</v>
      </c>
      <c r="M36" s="14">
        <v>5.8458922294713925E-10</v>
      </c>
      <c r="N36" s="14">
        <v>5.8458922294713925E-10</v>
      </c>
      <c r="O36" s="14">
        <v>5.8458922294713925E-10</v>
      </c>
      <c r="P36" t="str">
        <f t="shared" si="0"/>
        <v/>
      </c>
    </row>
    <row r="37" spans="2:16" ht="15.75">
      <c r="B37" s="4"/>
      <c r="C37" s="7" t="s">
        <v>32</v>
      </c>
      <c r="D37" s="5" t="s">
        <v>31</v>
      </c>
      <c r="E37" s="14">
        <f>[1]VDI2230!E44/1000</f>
        <v>9.6993208304588435E-11</v>
      </c>
      <c r="I37" s="4"/>
      <c r="J37" s="7" t="s">
        <v>32</v>
      </c>
      <c r="K37" s="5" t="s">
        <v>31</v>
      </c>
      <c r="L37" s="14">
        <v>9.6993208304588435E-11</v>
      </c>
      <c r="M37" s="14">
        <v>9.6993208304588435E-11</v>
      </c>
      <c r="N37" s="14">
        <v>9.6993208304588435E-11</v>
      </c>
      <c r="O37" s="14">
        <v>9.6993208304588435E-11</v>
      </c>
      <c r="P37" t="str">
        <f t="shared" si="0"/>
        <v/>
      </c>
    </row>
    <row r="38" spans="2:16">
      <c r="B38" s="4"/>
      <c r="C38" s="7" t="s">
        <v>33</v>
      </c>
      <c r="D38" s="5" t="s">
        <v>25</v>
      </c>
      <c r="E38" s="9">
        <f>[1]calcFLS!BH16</f>
        <v>0.1423059102718657</v>
      </c>
      <c r="I38" s="4"/>
      <c r="J38" s="7" t="s">
        <v>33</v>
      </c>
      <c r="K38" s="5" t="s">
        <v>25</v>
      </c>
      <c r="L38" s="9">
        <v>0.1423059102718657</v>
      </c>
      <c r="M38" s="9">
        <v>0.1423059102718657</v>
      </c>
      <c r="N38" s="9">
        <v>0.1423059102718657</v>
      </c>
      <c r="O38" s="9">
        <v>0.1423059102718657</v>
      </c>
      <c r="P38" t="str">
        <f t="shared" si="0"/>
        <v/>
      </c>
    </row>
    <row r="39" spans="2:16" ht="15.75">
      <c r="B39" s="4">
        <f>B35+1</f>
        <v>5</v>
      </c>
      <c r="C39" s="7" t="s">
        <v>34</v>
      </c>
      <c r="D39" s="5" t="s">
        <v>15</v>
      </c>
      <c r="E39" s="15">
        <f>HLOOKUP([1]calcFLS!$O$25,[1]VDI2230!$X$7:$AG$18,8)</f>
        <v>48.860015706266829</v>
      </c>
      <c r="I39" s="4">
        <f>I35+1</f>
        <v>5</v>
      </c>
      <c r="J39" s="7" t="s">
        <v>34</v>
      </c>
      <c r="K39" s="5" t="s">
        <v>15</v>
      </c>
      <c r="L39" s="15">
        <v>48.860015706266829</v>
      </c>
      <c r="M39" s="15">
        <v>48.860015706266829</v>
      </c>
      <c r="N39" s="15">
        <v>48.860015706266829</v>
      </c>
      <c r="O39" s="15">
        <v>48.860015706266829</v>
      </c>
      <c r="P39" t="str">
        <f t="shared" si="0"/>
        <v/>
      </c>
    </row>
    <row r="40" spans="2:16" ht="15.75">
      <c r="B40" s="4"/>
      <c r="C40" s="7" t="s">
        <v>35</v>
      </c>
      <c r="D40" s="5" t="s">
        <v>36</v>
      </c>
      <c r="E40" s="8">
        <f>[1]Settlement!E5</f>
        <v>200</v>
      </c>
      <c r="I40" s="4"/>
      <c r="J40" s="7" t="s">
        <v>35</v>
      </c>
      <c r="K40" s="5" t="s">
        <v>36</v>
      </c>
      <c r="L40" s="8">
        <v>200</v>
      </c>
      <c r="M40" s="8">
        <v>200</v>
      </c>
      <c r="N40" s="8">
        <v>200</v>
      </c>
      <c r="O40" s="8">
        <v>200</v>
      </c>
      <c r="P40" t="str">
        <f t="shared" si="0"/>
        <v/>
      </c>
    </row>
    <row r="41" spans="2:16" ht="15.75">
      <c r="B41" s="4">
        <f>B39+1</f>
        <v>6</v>
      </c>
      <c r="C41" s="5" t="s">
        <v>37</v>
      </c>
      <c r="D41" s="5" t="s">
        <v>36</v>
      </c>
      <c r="E41" s="8">
        <f>HLOOKUP([1]calcFLS!$O$25,[1]VDI2230!$X$7:$AG$18,7)</f>
        <v>33.30212829607494</v>
      </c>
      <c r="F41" t="s">
        <v>38</v>
      </c>
      <c r="I41" s="4">
        <f>I39+1</f>
        <v>6</v>
      </c>
      <c r="J41" s="5" t="s">
        <v>37</v>
      </c>
      <c r="K41" s="5" t="s">
        <v>36</v>
      </c>
      <c r="L41" s="8">
        <v>33.30212829607494</v>
      </c>
      <c r="M41" s="8">
        <v>33.30212829607494</v>
      </c>
      <c r="N41" s="8">
        <v>33.30212829607494</v>
      </c>
      <c r="O41" s="8">
        <v>33.30212829607494</v>
      </c>
      <c r="P41" t="str">
        <f t="shared" si="0"/>
        <v>Including 50% reduction where re-tightening is assumed</v>
      </c>
    </row>
    <row r="42" spans="2:16" ht="15.75">
      <c r="B42" s="4">
        <f t="shared" ref="B42:B105" si="1">B41+1</f>
        <v>7</v>
      </c>
      <c r="C42" s="5" t="s">
        <v>39</v>
      </c>
      <c r="D42" s="5" t="s">
        <v>15</v>
      </c>
      <c r="E42" s="16">
        <f>[1]calcFLS!BH35</f>
        <v>3323.2147772434732</v>
      </c>
      <c r="I42" s="4">
        <f t="shared" ref="I42:I105" si="2">I41+1</f>
        <v>7</v>
      </c>
      <c r="J42" s="5" t="s">
        <v>39</v>
      </c>
      <c r="K42" s="5" t="s">
        <v>15</v>
      </c>
      <c r="L42" s="16">
        <v>3323.2147772434732</v>
      </c>
      <c r="M42" s="16">
        <v>3323.2147772434732</v>
      </c>
      <c r="N42" s="16">
        <v>3323.2147772434732</v>
      </c>
      <c r="O42" s="16">
        <v>3323.2147772434732</v>
      </c>
      <c r="P42" t="str">
        <f t="shared" si="0"/>
        <v/>
      </c>
    </row>
    <row r="43" spans="2:16" ht="15.75">
      <c r="B43" s="4">
        <f t="shared" si="1"/>
        <v>8</v>
      </c>
      <c r="C43" s="5" t="s">
        <v>40</v>
      </c>
      <c r="D43" s="5" t="s">
        <v>41</v>
      </c>
      <c r="E43" s="8">
        <f>MAX(E44,ABS(E45))</f>
        <v>321.69550000000004</v>
      </c>
      <c r="F43" t="s">
        <v>42</v>
      </c>
      <c r="I43" s="4">
        <f t="shared" si="2"/>
        <v>8</v>
      </c>
      <c r="J43" s="5" t="s">
        <v>40</v>
      </c>
      <c r="K43" s="5" t="s">
        <v>41</v>
      </c>
      <c r="L43" s="8">
        <v>321.69550000000004</v>
      </c>
      <c r="M43" s="8">
        <v>321.69550000000004</v>
      </c>
      <c r="N43" s="8">
        <v>321.69550000000004</v>
      </c>
      <c r="O43" s="8">
        <v>321.69550000000004</v>
      </c>
      <c r="P43" t="str">
        <f t="shared" si="0"/>
        <v>Note: S1 loads not included here, only FLS loads</v>
      </c>
    </row>
    <row r="44" spans="2:16" ht="15.75">
      <c r="B44" s="4">
        <f t="shared" si="1"/>
        <v>9</v>
      </c>
      <c r="C44" s="5" t="s">
        <v>43</v>
      </c>
      <c r="D44" s="5" t="s">
        <v>41</v>
      </c>
      <c r="E44" s="8">
        <f>[1]calcFLS!H38</f>
        <v>321.69550000000004</v>
      </c>
      <c r="I44" s="4">
        <f t="shared" si="2"/>
        <v>9</v>
      </c>
      <c r="J44" s="5" t="s">
        <v>43</v>
      </c>
      <c r="K44" s="5" t="s">
        <v>41</v>
      </c>
      <c r="L44" s="8">
        <v>321.69550000000004</v>
      </c>
      <c r="M44" s="8">
        <v>321.69550000000004</v>
      </c>
      <c r="N44" s="8">
        <v>321.69550000000004</v>
      </c>
      <c r="O44" s="8">
        <v>321.69550000000004</v>
      </c>
      <c r="P44" t="str">
        <f t="shared" si="0"/>
        <v/>
      </c>
    </row>
    <row r="45" spans="2:16" ht="15.75">
      <c r="B45" s="4">
        <f t="shared" si="1"/>
        <v>10</v>
      </c>
      <c r="C45" s="5" t="s">
        <v>44</v>
      </c>
      <c r="D45" s="5" t="s">
        <v>41</v>
      </c>
      <c r="E45" s="8">
        <f>[1]calcFLS!I38</f>
        <v>-318.4495</v>
      </c>
      <c r="I45" s="4">
        <f t="shared" si="2"/>
        <v>10</v>
      </c>
      <c r="J45" s="5" t="s">
        <v>44</v>
      </c>
      <c r="K45" s="5" t="s">
        <v>41</v>
      </c>
      <c r="L45" s="8">
        <v>-318.4495</v>
      </c>
      <c r="M45" s="8">
        <v>-318.4495</v>
      </c>
      <c r="N45" s="8">
        <v>-318.4495</v>
      </c>
      <c r="O45" s="8">
        <v>-318.4495</v>
      </c>
      <c r="P45" t="str">
        <f t="shared" si="0"/>
        <v/>
      </c>
    </row>
    <row r="46" spans="2:16" ht="15.75">
      <c r="B46" s="4"/>
      <c r="C46" s="5" t="s">
        <v>45</v>
      </c>
      <c r="D46" s="5" t="s">
        <v>15</v>
      </c>
      <c r="E46" s="16">
        <f>[1]calcFLS!BH39</f>
        <v>1320.324829474062</v>
      </c>
      <c r="I46" s="4"/>
      <c r="J46" s="5" t="s">
        <v>45</v>
      </c>
      <c r="K46" s="5" t="s">
        <v>15</v>
      </c>
      <c r="L46" s="16">
        <v>1320.324829474062</v>
      </c>
      <c r="M46" s="16">
        <v>1320.324829474062</v>
      </c>
      <c r="N46" s="16">
        <v>1320.324829474062</v>
      </c>
      <c r="O46" s="16">
        <v>1320.324829474062</v>
      </c>
      <c r="P46" t="str">
        <f t="shared" si="0"/>
        <v/>
      </c>
    </row>
    <row r="47" spans="2:16" ht="15.75">
      <c r="B47" s="4">
        <f>B45+1</f>
        <v>11</v>
      </c>
      <c r="C47" s="5" t="s">
        <v>46</v>
      </c>
      <c r="D47" s="5" t="s">
        <v>25</v>
      </c>
      <c r="E47" s="6"/>
      <c r="F47" t="s">
        <v>47</v>
      </c>
      <c r="I47" s="4">
        <f>I45+1</f>
        <v>11</v>
      </c>
      <c r="J47" s="5" t="s">
        <v>46</v>
      </c>
      <c r="K47" s="5" t="s">
        <v>25</v>
      </c>
      <c r="L47" s="6"/>
      <c r="M47" s="6"/>
      <c r="N47" s="6"/>
      <c r="O47" s="6"/>
      <c r="P47" t="str">
        <f t="shared" si="0"/>
        <v>(valid in case L-Flange is calculated)</v>
      </c>
    </row>
    <row r="48" spans="2:16" ht="15.75">
      <c r="B48" s="4"/>
      <c r="C48" s="7" t="s">
        <v>48</v>
      </c>
      <c r="D48" s="5" t="s">
        <v>49</v>
      </c>
      <c r="E48" s="17">
        <f>[1]calcFLS!BL27</f>
        <v>120</v>
      </c>
      <c r="I48" s="4"/>
      <c r="J48" s="7" t="s">
        <v>48</v>
      </c>
      <c r="K48" s="5" t="s">
        <v>49</v>
      </c>
      <c r="L48" s="17">
        <v>30</v>
      </c>
      <c r="M48" s="17">
        <v>60</v>
      </c>
      <c r="N48" s="17">
        <v>90</v>
      </c>
      <c r="O48" s="17">
        <v>120</v>
      </c>
      <c r="P48" t="str">
        <f t="shared" si="0"/>
        <v/>
      </c>
    </row>
    <row r="49" spans="2:16" ht="15.75">
      <c r="B49" s="4"/>
      <c r="C49" s="5" t="s">
        <v>50</v>
      </c>
      <c r="D49" s="5" t="s">
        <v>51</v>
      </c>
      <c r="E49" s="9">
        <f>[1]calcFLS!BL28/1000</f>
        <v>7.8539816339744828</v>
      </c>
      <c r="F49" t="s">
        <v>52</v>
      </c>
      <c r="I49" s="4"/>
      <c r="J49" s="5" t="s">
        <v>50</v>
      </c>
      <c r="K49" s="5" t="s">
        <v>51</v>
      </c>
      <c r="L49" s="9">
        <v>1.9634954084936207</v>
      </c>
      <c r="M49" s="9">
        <v>3.9269908169872414</v>
      </c>
      <c r="N49" s="9">
        <v>5.8904862254808625</v>
      </c>
      <c r="O49" s="9">
        <v>7.8539816339744828</v>
      </c>
      <c r="P49" t="str">
        <f t="shared" si="0"/>
        <v>Gap length measured on outside diameter</v>
      </c>
    </row>
    <row r="50" spans="2:16">
      <c r="B50" s="4"/>
      <c r="C50" s="5" t="s">
        <v>53</v>
      </c>
      <c r="D50" s="5" t="s">
        <v>51</v>
      </c>
      <c r="E50" s="9">
        <f>[1]calcFLS!BH6/1000</f>
        <v>7.5</v>
      </c>
      <c r="I50" s="4"/>
      <c r="J50" s="5" t="s">
        <v>53</v>
      </c>
      <c r="K50" s="5" t="s">
        <v>51</v>
      </c>
      <c r="L50" s="9">
        <v>7.5</v>
      </c>
      <c r="M50" s="9">
        <v>7.5</v>
      </c>
      <c r="N50" s="9">
        <v>7.5</v>
      </c>
      <c r="O50" s="9">
        <v>7.5</v>
      </c>
      <c r="P50" t="str">
        <f t="shared" si="0"/>
        <v/>
      </c>
    </row>
    <row r="51" spans="2:16" ht="15.75">
      <c r="B51" s="4"/>
      <c r="C51" s="5" t="s">
        <v>54</v>
      </c>
      <c r="D51" s="5" t="s">
        <v>55</v>
      </c>
      <c r="E51" s="15">
        <f>[1]calcFLS!BV12</f>
        <v>1.4</v>
      </c>
      <c r="I51" s="4"/>
      <c r="J51" s="5" t="s">
        <v>54</v>
      </c>
      <c r="K51" s="5" t="s">
        <v>55</v>
      </c>
      <c r="L51" s="15">
        <v>1.4</v>
      </c>
      <c r="M51" s="15">
        <v>1.4</v>
      </c>
      <c r="N51" s="15">
        <v>1.4</v>
      </c>
      <c r="O51" s="15">
        <v>1.4</v>
      </c>
      <c r="P51" t="str">
        <f t="shared" si="0"/>
        <v/>
      </c>
    </row>
    <row r="52" spans="2:16" ht="15.75">
      <c r="B52" s="4">
        <f>B47+1</f>
        <v>12</v>
      </c>
      <c r="C52" s="5" t="s">
        <v>56</v>
      </c>
      <c r="D52" s="5" t="s">
        <v>57</v>
      </c>
      <c r="E52" s="9">
        <f>[1]DesignGaps!C53</f>
        <v>2.1533230192475301</v>
      </c>
      <c r="I52" s="4">
        <f>I47+1</f>
        <v>12</v>
      </c>
      <c r="J52" s="5" t="s">
        <v>56</v>
      </c>
      <c r="K52" s="5" t="s">
        <v>57</v>
      </c>
      <c r="L52" s="9">
        <v>0.28773533056547307</v>
      </c>
      <c r="M52" s="9">
        <v>0.74253427729521915</v>
      </c>
      <c r="N52" s="9">
        <v>1.3643968401892383</v>
      </c>
      <c r="O52" s="9">
        <v>2.1533230192475301</v>
      </c>
      <c r="P52" t="str">
        <f t="shared" si="0"/>
        <v/>
      </c>
    </row>
    <row r="53" spans="2:16" ht="15.75">
      <c r="B53" s="4">
        <f t="shared" si="1"/>
        <v>13</v>
      </c>
      <c r="C53" s="5" t="s">
        <v>58</v>
      </c>
      <c r="D53" s="5" t="s">
        <v>25</v>
      </c>
      <c r="E53" s="9">
        <f>0.35+200*E48^-1.6</f>
        <v>0.44426272750754409</v>
      </c>
      <c r="I53" s="4">
        <f t="shared" si="2"/>
        <v>13</v>
      </c>
      <c r="J53" s="5" t="s">
        <v>58</v>
      </c>
      <c r="K53" s="5" t="s">
        <v>25</v>
      </c>
      <c r="L53" s="9">
        <v>1.2162355202035975</v>
      </c>
      <c r="M53" s="9">
        <v>0.63575115537527993</v>
      </c>
      <c r="N53" s="9">
        <v>0.4993626397773579</v>
      </c>
      <c r="O53" s="9">
        <v>0.44426272750754409</v>
      </c>
      <c r="P53" t="str">
        <f t="shared" si="0"/>
        <v/>
      </c>
    </row>
    <row r="54" spans="2:16" ht="15.75">
      <c r="B54" s="4"/>
      <c r="C54" s="5" t="s">
        <v>59</v>
      </c>
      <c r="D54" s="5" t="s">
        <v>51</v>
      </c>
      <c r="E54" s="9">
        <f>PI()*E50/12</f>
        <v>1.9634954084936205</v>
      </c>
      <c r="I54" s="4"/>
      <c r="J54" s="5" t="s">
        <v>59</v>
      </c>
      <c r="K54" s="5" t="s">
        <v>51</v>
      </c>
      <c r="L54" s="9">
        <v>1.9634954084936205</v>
      </c>
      <c r="M54" s="9">
        <v>1.9634954084936205</v>
      </c>
      <c r="N54" s="9">
        <v>1.9634954084936205</v>
      </c>
      <c r="O54" s="9">
        <v>1.9634954084936205</v>
      </c>
      <c r="P54" t="str">
        <f t="shared" si="0"/>
        <v/>
      </c>
    </row>
    <row r="55" spans="2:16" ht="15.75">
      <c r="B55" s="4">
        <f>B53+1</f>
        <v>14</v>
      </c>
      <c r="C55" s="5" t="s">
        <v>60</v>
      </c>
      <c r="D55" s="5" t="s">
        <v>57</v>
      </c>
      <c r="E55" s="9">
        <f>SQRT(E54)*E51</f>
        <v>1.9617469257392748</v>
      </c>
      <c r="I55" s="4">
        <f>I53+1</f>
        <v>14</v>
      </c>
      <c r="J55" s="5" t="s">
        <v>60</v>
      </c>
      <c r="K55" s="5" t="s">
        <v>57</v>
      </c>
      <c r="L55" s="9">
        <v>1.9617469257392748</v>
      </c>
      <c r="M55" s="9">
        <v>1.9617469257392748</v>
      </c>
      <c r="N55" s="9">
        <v>1.9617469257392748</v>
      </c>
      <c r="O55" s="9">
        <v>1.9617469257392748</v>
      </c>
      <c r="P55" t="str">
        <f t="shared" si="0"/>
        <v/>
      </c>
    </row>
    <row r="56" spans="2:16" ht="15.75">
      <c r="B56" s="4">
        <f t="shared" si="1"/>
        <v>15</v>
      </c>
      <c r="C56" s="5" t="s">
        <v>61</v>
      </c>
      <c r="D56" s="5" t="s">
        <v>57</v>
      </c>
      <c r="E56" s="9">
        <f>1.5*E55</f>
        <v>2.942620388608912</v>
      </c>
      <c r="I56" s="4">
        <f t="shared" si="2"/>
        <v>15</v>
      </c>
      <c r="J56" s="5" t="s">
        <v>61</v>
      </c>
      <c r="K56" s="5" t="s">
        <v>57</v>
      </c>
      <c r="L56" s="9">
        <v>2.942620388608912</v>
      </c>
      <c r="M56" s="9">
        <v>2.942620388608912</v>
      </c>
      <c r="N56" s="9">
        <v>2.942620388608912</v>
      </c>
      <c r="O56" s="9">
        <v>2.942620388608912</v>
      </c>
      <c r="P56" t="str">
        <f t="shared" si="0"/>
        <v/>
      </c>
    </row>
    <row r="57" spans="2:16" ht="15.75">
      <c r="B57" s="4">
        <f t="shared" si="1"/>
        <v>16</v>
      </c>
      <c r="C57" s="7" t="s">
        <v>62</v>
      </c>
      <c r="D57" s="5"/>
      <c r="E57" s="9">
        <f>SQRT(LN(E53^2+1))</f>
        <v>0.42441366570439232</v>
      </c>
      <c r="I57" s="4">
        <f t="shared" si="2"/>
        <v>16</v>
      </c>
      <c r="J57" s="7" t="s">
        <v>62</v>
      </c>
      <c r="K57" s="5"/>
      <c r="L57" s="9">
        <v>0.95286282352314688</v>
      </c>
      <c r="M57" s="9">
        <v>0.58262609700472079</v>
      </c>
      <c r="N57" s="9">
        <v>0.47184092472685457</v>
      </c>
      <c r="O57" s="9">
        <v>0.42441366570439232</v>
      </c>
      <c r="P57" t="str">
        <f t="shared" si="0"/>
        <v/>
      </c>
    </row>
    <row r="58" spans="2:16" ht="15.75">
      <c r="B58" s="4">
        <f t="shared" si="1"/>
        <v>17</v>
      </c>
      <c r="C58" s="7" t="s">
        <v>63</v>
      </c>
      <c r="D58" s="5"/>
      <c r="E58" s="9">
        <f>LN(E52)-0.5*E57^2</f>
        <v>0.67694875947348121</v>
      </c>
      <c r="I58" s="4">
        <f t="shared" si="2"/>
        <v>17</v>
      </c>
      <c r="J58" s="7" t="s">
        <v>63</v>
      </c>
      <c r="K58" s="5"/>
      <c r="L58" s="9">
        <v>-1.6996879926957522</v>
      </c>
      <c r="M58" s="9">
        <v>-0.46741282911895099</v>
      </c>
      <c r="N58" s="9">
        <v>0.19939552653846943</v>
      </c>
      <c r="O58" s="9">
        <v>0.67694875947348121</v>
      </c>
      <c r="P58" t="str">
        <f t="shared" si="0"/>
        <v/>
      </c>
    </row>
    <row r="59" spans="2:16" ht="15.75">
      <c r="B59" s="4">
        <f t="shared" si="1"/>
        <v>18</v>
      </c>
      <c r="C59" s="5" t="s">
        <v>64</v>
      </c>
      <c r="D59" s="5"/>
      <c r="E59" s="9">
        <f>E58+1.6449*E57</f>
        <v>1.3750667981906362</v>
      </c>
      <c r="I59" s="4">
        <f t="shared" si="2"/>
        <v>18</v>
      </c>
      <c r="J59" s="5" t="s">
        <v>64</v>
      </c>
      <c r="K59" s="5"/>
      <c r="L59" s="9">
        <v>-0.13232393428252798</v>
      </c>
      <c r="M59" s="9">
        <v>0.49094883784411425</v>
      </c>
      <c r="N59" s="9">
        <v>0.97552666362167262</v>
      </c>
      <c r="O59" s="9">
        <v>1.3750667981906362</v>
      </c>
      <c r="P59" t="str">
        <f t="shared" si="0"/>
        <v/>
      </c>
    </row>
    <row r="60" spans="2:16" ht="15.75">
      <c r="B60" s="4">
        <f t="shared" si="1"/>
        <v>19</v>
      </c>
      <c r="C60" s="5" t="s">
        <v>65</v>
      </c>
      <c r="D60" s="5" t="s">
        <v>57</v>
      </c>
      <c r="E60" s="9">
        <f>[1]DesignGaps!H53</f>
        <v>3.9552630780086151</v>
      </c>
      <c r="I60" s="4">
        <f t="shared" si="2"/>
        <v>19</v>
      </c>
      <c r="J60" s="5" t="s">
        <v>65</v>
      </c>
      <c r="K60" s="5" t="s">
        <v>57</v>
      </c>
      <c r="L60" s="9">
        <v>0.87601845454409977</v>
      </c>
      <c r="M60" s="9">
        <v>1.6338216149415525</v>
      </c>
      <c r="N60" s="9">
        <v>2.6525058127308667</v>
      </c>
      <c r="O60" s="9">
        <v>3.9552630780086151</v>
      </c>
      <c r="P60" t="str">
        <f t="shared" si="0"/>
        <v/>
      </c>
    </row>
    <row r="61" spans="2:16" ht="15.75">
      <c r="B61" s="4"/>
      <c r="C61" s="5" t="s">
        <v>66</v>
      </c>
      <c r="D61" s="5" t="s">
        <v>57</v>
      </c>
      <c r="E61" s="9">
        <f>[1]calcFLS!BL35</f>
        <v>3.9552630780086151</v>
      </c>
      <c r="F61" t="s">
        <v>67</v>
      </c>
      <c r="I61" s="4"/>
      <c r="J61" s="5" t="s">
        <v>66</v>
      </c>
      <c r="K61" s="5" t="s">
        <v>57</v>
      </c>
      <c r="L61" s="9">
        <v>0.87601845454409977</v>
      </c>
      <c r="M61" s="9">
        <v>1.6338216149415525</v>
      </c>
      <c r="N61" s="9">
        <v>2.6525058127308667</v>
      </c>
      <c r="O61" s="9">
        <v>3.9552630780086151</v>
      </c>
      <c r="P61" t="str">
        <f t="shared" si="0"/>
        <v>Gap value used for calculation</v>
      </c>
    </row>
    <row r="62" spans="2:16">
      <c r="B62" s="4">
        <f>B60+1</f>
        <v>20</v>
      </c>
      <c r="C62" s="5" t="s">
        <v>68</v>
      </c>
      <c r="D62" s="5"/>
      <c r="E62" s="18"/>
      <c r="F62" t="s">
        <v>69</v>
      </c>
      <c r="I62" s="4">
        <f>I60+1</f>
        <v>20</v>
      </c>
      <c r="J62" s="5" t="s">
        <v>68</v>
      </c>
      <c r="K62" s="5"/>
      <c r="L62" s="18"/>
      <c r="M62" s="18"/>
      <c r="N62" s="18"/>
      <c r="O62" s="18"/>
      <c r="P62" t="str">
        <f t="shared" si="0"/>
        <v>Gap shape formula</v>
      </c>
    </row>
    <row r="63" spans="2:16">
      <c r="B63" s="4">
        <f t="shared" si="1"/>
        <v>21</v>
      </c>
      <c r="C63" s="19" t="s">
        <v>70</v>
      </c>
      <c r="D63" s="5"/>
      <c r="E63" s="18"/>
      <c r="F63" t="s">
        <v>71</v>
      </c>
      <c r="I63" s="4">
        <f t="shared" si="2"/>
        <v>21</v>
      </c>
      <c r="J63" s="19" t="s">
        <v>70</v>
      </c>
      <c r="K63" s="5"/>
      <c r="L63" s="18"/>
      <c r="M63" s="18"/>
      <c r="N63" s="18"/>
      <c r="O63" s="18"/>
      <c r="P63" t="str">
        <f t="shared" si="0"/>
        <v>Stress range formula</v>
      </c>
    </row>
    <row r="64" spans="2:16" ht="15.75">
      <c r="B64" s="4">
        <f t="shared" si="1"/>
        <v>22</v>
      </c>
      <c r="C64" s="5" t="s">
        <v>72</v>
      </c>
      <c r="D64" s="5"/>
      <c r="E64" s="6"/>
      <c r="I64" s="4">
        <f t="shared" si="2"/>
        <v>22</v>
      </c>
      <c r="J64" s="5" t="s">
        <v>72</v>
      </c>
      <c r="K64" s="5"/>
      <c r="L64" s="6"/>
      <c r="M64" s="6"/>
      <c r="N64" s="6"/>
      <c r="O64" s="6"/>
      <c r="P64" t="str">
        <f t="shared" si="0"/>
        <v/>
      </c>
    </row>
    <row r="65" spans="2:16" ht="15.75">
      <c r="B65" s="4">
        <f t="shared" si="1"/>
        <v>23</v>
      </c>
      <c r="C65" s="5" t="s">
        <v>73</v>
      </c>
      <c r="D65" s="5"/>
      <c r="E65" s="6"/>
      <c r="I65" s="4">
        <f t="shared" si="2"/>
        <v>23</v>
      </c>
      <c r="J65" s="5" t="s">
        <v>73</v>
      </c>
      <c r="K65" s="5"/>
      <c r="L65" s="6"/>
      <c r="M65" s="6"/>
      <c r="N65" s="6"/>
      <c r="O65" s="6"/>
      <c r="P65" t="str">
        <f t="shared" si="0"/>
        <v/>
      </c>
    </row>
    <row r="66" spans="2:16" ht="15.75">
      <c r="B66" s="4">
        <f t="shared" si="1"/>
        <v>24</v>
      </c>
      <c r="C66" s="5" t="s">
        <v>74</v>
      </c>
      <c r="D66" s="5"/>
      <c r="E66" s="18"/>
      <c r="F66" t="s">
        <v>75</v>
      </c>
      <c r="I66" s="4">
        <f t="shared" si="2"/>
        <v>24</v>
      </c>
      <c r="J66" s="5" t="s">
        <v>74</v>
      </c>
      <c r="K66" s="5"/>
      <c r="L66" s="18"/>
      <c r="M66" s="18"/>
      <c r="N66" s="18"/>
      <c r="O66" s="18"/>
      <c r="P66" t="str">
        <f t="shared" si="0"/>
        <v>Summarized formula for bolt force curve</v>
      </c>
    </row>
    <row r="67" spans="2:16" ht="15.75">
      <c r="B67" s="4"/>
      <c r="C67" s="5" t="s">
        <v>76</v>
      </c>
      <c r="D67" s="5" t="s">
        <v>15</v>
      </c>
      <c r="E67" s="9">
        <f>[1]Coefficients!E8</f>
        <v>-123.29166666666667</v>
      </c>
      <c r="I67" s="4"/>
      <c r="J67" s="5" t="s">
        <v>76</v>
      </c>
      <c r="K67" s="5" t="s">
        <v>15</v>
      </c>
      <c r="L67" s="9">
        <v>-123.29166666666667</v>
      </c>
      <c r="M67" s="9">
        <v>-123.29166666666667</v>
      </c>
      <c r="N67" s="9">
        <v>-123.29166666666667</v>
      </c>
      <c r="O67" s="9">
        <v>-123.29166666666667</v>
      </c>
    </row>
    <row r="68" spans="2:16" ht="15.75">
      <c r="B68" s="4"/>
      <c r="C68" s="5" t="s">
        <v>77</v>
      </c>
      <c r="D68" s="5" t="s">
        <v>15</v>
      </c>
      <c r="E68" s="9">
        <f>[1]Coefficients!F8</f>
        <v>2876</v>
      </c>
      <c r="I68" s="4"/>
      <c r="J68" s="5" t="s">
        <v>77</v>
      </c>
      <c r="K68" s="5" t="s">
        <v>15</v>
      </c>
      <c r="L68" s="9">
        <v>2876</v>
      </c>
      <c r="M68" s="9">
        <v>2876</v>
      </c>
      <c r="N68" s="9">
        <v>2876</v>
      </c>
      <c r="O68" s="9">
        <v>2876</v>
      </c>
    </row>
    <row r="69" spans="2:16" ht="15.75">
      <c r="B69" s="4"/>
      <c r="C69" s="5" t="s">
        <v>78</v>
      </c>
      <c r="D69" s="5" t="s">
        <v>15</v>
      </c>
      <c r="E69" s="9">
        <f>[1]Coefficients!E9</f>
        <v>1541.2016094157079</v>
      </c>
      <c r="I69" s="4"/>
      <c r="J69" s="5" t="s">
        <v>78</v>
      </c>
      <c r="K69" s="5" t="s">
        <v>15</v>
      </c>
      <c r="L69" s="9">
        <v>2000.9202638759255</v>
      </c>
      <c r="M69" s="9">
        <v>1696.4363831333353</v>
      </c>
      <c r="N69" s="9">
        <v>1595.2085396502491</v>
      </c>
      <c r="O69" s="9">
        <v>1541.2016094157079</v>
      </c>
    </row>
    <row r="70" spans="2:16" ht="15.75">
      <c r="B70" s="4"/>
      <c r="C70" s="5" t="s">
        <v>79</v>
      </c>
      <c r="D70" s="5" t="s">
        <v>15</v>
      </c>
      <c r="E70" s="9">
        <f>[1]Coefficients!F9</f>
        <v>3595</v>
      </c>
      <c r="I70" s="4"/>
      <c r="J70" s="5" t="s">
        <v>79</v>
      </c>
      <c r="K70" s="5" t="s">
        <v>15</v>
      </c>
      <c r="L70" s="9">
        <v>3595</v>
      </c>
      <c r="M70" s="9">
        <v>3595</v>
      </c>
      <c r="N70" s="9">
        <v>3595</v>
      </c>
      <c r="O70" s="9">
        <v>3595</v>
      </c>
    </row>
    <row r="71" spans="2:16" ht="15.75">
      <c r="B71" s="4"/>
      <c r="C71" s="5" t="s">
        <v>80</v>
      </c>
      <c r="D71" s="5" t="s">
        <v>15</v>
      </c>
      <c r="E71" s="9">
        <f>[1]Coefficients!E10</f>
        <v>114.91573803665135</v>
      </c>
      <c r="I71" s="4"/>
      <c r="J71" s="5" t="s">
        <v>80</v>
      </c>
      <c r="K71" s="5" t="s">
        <v>15</v>
      </c>
      <c r="L71" s="9">
        <v>206.82520235998152</v>
      </c>
      <c r="M71" s="9">
        <v>139.05186524303502</v>
      </c>
      <c r="N71" s="9">
        <v>121.69300747304081</v>
      </c>
      <c r="O71" s="9">
        <v>114.91573803665135</v>
      </c>
    </row>
    <row r="72" spans="2:16" ht="15.75">
      <c r="B72" s="4"/>
      <c r="C72" s="5" t="s">
        <v>81</v>
      </c>
      <c r="D72" s="5" t="s">
        <v>15</v>
      </c>
      <c r="E72" s="9">
        <f>[1]Coefficients!F10</f>
        <v>2909.8983215598046</v>
      </c>
      <c r="I72" s="4"/>
      <c r="J72" s="5" t="s">
        <v>81</v>
      </c>
      <c r="K72" s="5" t="s">
        <v>15</v>
      </c>
      <c r="L72" s="9">
        <v>2922.9775815429352</v>
      </c>
      <c r="M72" s="9">
        <v>2913.3330351123464</v>
      </c>
      <c r="N72" s="9">
        <v>2910.8627670561073</v>
      </c>
      <c r="O72" s="9">
        <v>2909.8983215598046</v>
      </c>
    </row>
    <row r="73" spans="2:16" ht="15.75">
      <c r="B73" s="4"/>
      <c r="C73" s="5" t="s">
        <v>82</v>
      </c>
      <c r="D73" s="5"/>
      <c r="E73" s="17">
        <f>[1]Coefficients!E22</f>
        <v>565514679.49266434</v>
      </c>
      <c r="I73" s="4"/>
      <c r="J73" s="5" t="s">
        <v>82</v>
      </c>
      <c r="K73" s="5"/>
      <c r="L73" s="17">
        <v>1258087976.6031687</v>
      </c>
      <c r="M73" s="17">
        <v>743485843.40941381</v>
      </c>
      <c r="N73" s="17">
        <v>620359194.07754183</v>
      </c>
      <c r="O73" s="17">
        <v>565514679.49266434</v>
      </c>
    </row>
    <row r="74" spans="2:16" ht="15.75">
      <c r="B74" s="4"/>
      <c r="C74" s="5" t="s">
        <v>83</v>
      </c>
      <c r="D74" s="5"/>
      <c r="E74" s="16">
        <f>[1]Coefficients!E23</f>
        <v>114847.59567491277</v>
      </c>
      <c r="I74" s="4"/>
      <c r="J74" s="5" t="s">
        <v>83</v>
      </c>
      <c r="K74" s="5"/>
      <c r="L74" s="16">
        <v>137563.68964861956</v>
      </c>
      <c r="M74" s="16">
        <v>120689.0282649705</v>
      </c>
      <c r="N74" s="16">
        <v>116232.30832775075</v>
      </c>
      <c r="O74" s="16">
        <v>114847.59567491277</v>
      </c>
    </row>
    <row r="75" spans="2:16" ht="15.75">
      <c r="B75" s="4"/>
      <c r="C75" s="5" t="s">
        <v>84</v>
      </c>
      <c r="D75" s="5"/>
      <c r="E75" s="16">
        <f>[1]Coefficients!E24</f>
        <v>81438036.502008379</v>
      </c>
      <c r="I75" s="4"/>
      <c r="J75" s="5" t="s">
        <v>84</v>
      </c>
      <c r="K75" s="5"/>
      <c r="L75" s="16">
        <v>167542173.33323577</v>
      </c>
      <c r="M75" s="16">
        <v>103900346.66917758</v>
      </c>
      <c r="N75" s="16">
        <v>88466595.657029569</v>
      </c>
      <c r="O75" s="16">
        <v>81438036.502008379</v>
      </c>
    </row>
    <row r="76" spans="2:16" ht="15.75">
      <c r="B76" s="4"/>
      <c r="C76" s="7" t="s">
        <v>85</v>
      </c>
      <c r="D76" s="5"/>
      <c r="E76" s="20">
        <f>[1]Coefficients!E26</f>
        <v>2.0308508309270604E-4</v>
      </c>
      <c r="I76" s="4"/>
      <c r="J76" s="7" t="s">
        <v>85</v>
      </c>
      <c r="K76" s="5"/>
      <c r="L76" s="20">
        <v>1.0934345785581771E-4</v>
      </c>
      <c r="M76" s="20">
        <v>1.6232861638834317E-4</v>
      </c>
      <c r="N76" s="20">
        <v>1.8736291722182857E-4</v>
      </c>
      <c r="O76" s="20">
        <v>2.0308508309270604E-4</v>
      </c>
    </row>
    <row r="77" spans="2:16" ht="15.75">
      <c r="B77" s="4"/>
      <c r="C77" s="7" t="s">
        <v>86</v>
      </c>
      <c r="D77" s="5"/>
      <c r="E77" s="20">
        <f>[1]Coefficients!E27</f>
        <v>0.14400693643367177</v>
      </c>
      <c r="I77" s="4"/>
      <c r="J77" s="7" t="s">
        <v>86</v>
      </c>
      <c r="K77" s="5"/>
      <c r="L77" s="20">
        <v>0.13317206463223566</v>
      </c>
      <c r="M77" s="20">
        <v>0.13974757904295831</v>
      </c>
      <c r="N77" s="20">
        <v>0.14260543972202608</v>
      </c>
      <c r="O77" s="20">
        <v>0.14400693643367177</v>
      </c>
    </row>
    <row r="78" spans="2:16" ht="14.25">
      <c r="B78" s="4"/>
      <c r="C78" s="19" t="s">
        <v>87</v>
      </c>
      <c r="D78" s="5"/>
      <c r="E78" s="15">
        <f>[1]Coefficients!E29</f>
        <v>2890.6677923513116</v>
      </c>
      <c r="I78" s="4"/>
      <c r="J78" s="19" t="s">
        <v>87</v>
      </c>
      <c r="K78" s="5"/>
      <c r="L78" s="15">
        <v>2890.7568939331604</v>
      </c>
      <c r="M78" s="15">
        <v>2890.762181408068</v>
      </c>
      <c r="N78" s="15">
        <v>2890.7339895362425</v>
      </c>
      <c r="O78" s="15">
        <v>2890.6677923513116</v>
      </c>
    </row>
    <row r="79" spans="2:16" ht="15.75">
      <c r="B79" s="4">
        <f>B66+1</f>
        <v>25</v>
      </c>
      <c r="C79" s="7" t="s">
        <v>88</v>
      </c>
      <c r="D79" s="5" t="s">
        <v>15</v>
      </c>
      <c r="E79" s="8">
        <f>[1]Gap_close!E34*2.2</f>
        <v>681.32565393551567</v>
      </c>
      <c r="I79" s="4">
        <f>I66+1</f>
        <v>25</v>
      </c>
      <c r="J79" s="7" t="s">
        <v>88</v>
      </c>
      <c r="K79" s="5" t="s">
        <v>15</v>
      </c>
      <c r="L79" s="8">
        <v>1244.3580111747735</v>
      </c>
      <c r="M79" s="8">
        <v>806.61559168592612</v>
      </c>
      <c r="N79" s="8">
        <v>712.67155159683637</v>
      </c>
      <c r="O79" s="8">
        <v>681.32565393551567</v>
      </c>
      <c r="P79" t="str">
        <f t="shared" si="0"/>
        <v/>
      </c>
    </row>
    <row r="80" spans="2:16" ht="15.75">
      <c r="B80" s="4"/>
      <c r="C80" s="5" t="s">
        <v>89</v>
      </c>
      <c r="D80" s="5" t="s">
        <v>21</v>
      </c>
      <c r="E80" s="16">
        <f>[1]calcFLS!BH20</f>
        <v>37149.333128699305</v>
      </c>
      <c r="I80" s="4"/>
      <c r="J80" s="5" t="s">
        <v>89</v>
      </c>
      <c r="K80" s="5" t="s">
        <v>21</v>
      </c>
      <c r="L80" s="16">
        <v>37149.333128699305</v>
      </c>
      <c r="M80" s="16">
        <v>37149.333128699305</v>
      </c>
      <c r="N80" s="16">
        <v>37149.333128699305</v>
      </c>
      <c r="O80" s="16">
        <v>37149.333128699305</v>
      </c>
      <c r="P80" t="str">
        <f t="shared" si="0"/>
        <v/>
      </c>
    </row>
    <row r="81" spans="2:16" ht="15.75">
      <c r="B81" s="4"/>
      <c r="C81" s="5" t="s">
        <v>90</v>
      </c>
      <c r="D81" s="5" t="s">
        <v>91</v>
      </c>
      <c r="E81" s="14">
        <f>[1]calcFLS!BL18</f>
        <v>123831110.42899768</v>
      </c>
      <c r="I81" s="4"/>
      <c r="J81" s="5" t="s">
        <v>90</v>
      </c>
      <c r="K81" s="5" t="s">
        <v>91</v>
      </c>
      <c r="L81" s="21">
        <v>123831110.42899768</v>
      </c>
      <c r="M81" s="21">
        <v>123831110.42899768</v>
      </c>
      <c r="N81" s="21">
        <v>123831110.42899768</v>
      </c>
      <c r="O81" s="21">
        <v>123831110.42899768</v>
      </c>
      <c r="P81" t="str">
        <f t="shared" si="0"/>
        <v/>
      </c>
    </row>
    <row r="82" spans="2:16" ht="15.75">
      <c r="B82" s="4"/>
      <c r="C82" s="5" t="s">
        <v>92</v>
      </c>
      <c r="D82" s="5" t="s">
        <v>21</v>
      </c>
      <c r="E82" s="16">
        <f>[1]Gap_close!E18</f>
        <v>87000</v>
      </c>
      <c r="I82" s="4"/>
      <c r="J82" s="5" t="s">
        <v>92</v>
      </c>
      <c r="K82" s="5" t="s">
        <v>21</v>
      </c>
      <c r="L82" s="16">
        <v>87000</v>
      </c>
      <c r="M82" s="16">
        <v>87000</v>
      </c>
      <c r="N82" s="16">
        <v>87000</v>
      </c>
      <c r="O82" s="16">
        <v>87000</v>
      </c>
      <c r="P82" t="str">
        <f t="shared" si="0"/>
        <v/>
      </c>
    </row>
    <row r="83" spans="2:16" ht="15.75">
      <c r="B83" s="4"/>
      <c r="C83" s="5" t="s">
        <v>93</v>
      </c>
      <c r="D83" s="5" t="s">
        <v>91</v>
      </c>
      <c r="E83" s="14">
        <f>[1]Gap_close!E19</f>
        <v>290000000</v>
      </c>
      <c r="I83" s="4"/>
      <c r="J83" s="5" t="s">
        <v>93</v>
      </c>
      <c r="K83" s="5" t="s">
        <v>91</v>
      </c>
      <c r="L83" s="21">
        <v>290000000</v>
      </c>
      <c r="M83" s="21">
        <v>290000000</v>
      </c>
      <c r="N83" s="21">
        <v>290000000</v>
      </c>
      <c r="O83" s="21">
        <v>290000000</v>
      </c>
      <c r="P83" t="str">
        <f t="shared" si="0"/>
        <v/>
      </c>
    </row>
    <row r="84" spans="2:16" ht="15.75">
      <c r="B84" s="4">
        <f>B79+1</f>
        <v>26</v>
      </c>
      <c r="C84" s="5" t="s">
        <v>94</v>
      </c>
      <c r="D84" s="5" t="s">
        <v>95</v>
      </c>
      <c r="E84" s="16">
        <f>2.2*[1]Gap_close!E29</f>
        <v>1774.9582977160969</v>
      </c>
      <c r="I84" s="4">
        <f>I79+1</f>
        <v>26</v>
      </c>
      <c r="J84" s="5" t="s">
        <v>94</v>
      </c>
      <c r="K84" s="5" t="s">
        <v>95</v>
      </c>
      <c r="L84" s="16">
        <v>14636.622779298261</v>
      </c>
      <c r="M84" s="16">
        <v>5087.1057121717786</v>
      </c>
      <c r="N84" s="16">
        <v>2768.4830316768875</v>
      </c>
      <c r="O84" s="16">
        <v>1774.9582977160969</v>
      </c>
      <c r="P84" t="str">
        <f t="shared" si="0"/>
        <v/>
      </c>
    </row>
    <row r="85" spans="2:16" ht="15.75">
      <c r="B85" s="4">
        <f t="shared" si="1"/>
        <v>27</v>
      </c>
      <c r="C85" s="5" t="s">
        <v>96</v>
      </c>
      <c r="D85" s="5" t="s">
        <v>95</v>
      </c>
      <c r="E85" s="16">
        <f ca="1">[1]Gap_close!E27</f>
        <v>594.89447044033909</v>
      </c>
      <c r="F85" t="s">
        <v>97</v>
      </c>
      <c r="I85" s="4">
        <f t="shared" si="2"/>
        <v>27</v>
      </c>
      <c r="J85" s="5" t="s">
        <v>96</v>
      </c>
      <c r="K85" s="5" t="s">
        <v>95</v>
      </c>
      <c r="L85" s="16">
        <v>4797.9387029107638</v>
      </c>
      <c r="M85" s="16">
        <v>2010.5727094753945</v>
      </c>
      <c r="N85" s="16">
        <v>1058.7224915491406</v>
      </c>
      <c r="O85" s="16">
        <v>594.89447044033909</v>
      </c>
      <c r="P85" t="str">
        <f t="shared" si="0"/>
        <v>Interpolated value</v>
      </c>
    </row>
    <row r="86" spans="2:16" ht="15.75">
      <c r="B86" s="4"/>
      <c r="C86" s="5" t="s">
        <v>96</v>
      </c>
      <c r="D86" s="5" t="s">
        <v>95</v>
      </c>
      <c r="E86" s="16">
        <f>[1]Gap_close!E26</f>
        <v>800.4072256196913</v>
      </c>
      <c r="F86" t="s">
        <v>98</v>
      </c>
      <c r="I86" s="4"/>
      <c r="J86" s="5" t="s">
        <v>96</v>
      </c>
      <c r="K86" s="5" t="s">
        <v>95</v>
      </c>
      <c r="L86" s="16">
        <v>5169.2082946490964</v>
      </c>
      <c r="M86" s="16">
        <v>2212.1093218994611</v>
      </c>
      <c r="N86" s="16">
        <v>1238.3066227426382</v>
      </c>
      <c r="O86" s="16">
        <v>800.4072256196913</v>
      </c>
      <c r="P86" t="str">
        <f t="shared" si="0"/>
        <v>Simplified formula</v>
      </c>
    </row>
    <row r="87" spans="2:16" ht="15.75">
      <c r="B87" s="4"/>
      <c r="C87" s="5" t="s">
        <v>96</v>
      </c>
      <c r="D87" s="5" t="s">
        <v>95</v>
      </c>
      <c r="E87" s="16">
        <f>IF([1]calcFLS!$BQ$8=1,E85,E86)</f>
        <v>800.4072256196913</v>
      </c>
      <c r="F87" t="s">
        <v>99</v>
      </c>
      <c r="I87" s="4"/>
      <c r="J87" s="5" t="s">
        <v>96</v>
      </c>
      <c r="K87" s="5" t="s">
        <v>95</v>
      </c>
      <c r="L87" s="16">
        <v>5169.2082946490964</v>
      </c>
      <c r="M87" s="16">
        <v>2212.1093218994611</v>
      </c>
      <c r="N87" s="16">
        <v>1238.3066227426382</v>
      </c>
      <c r="O87" s="16">
        <v>800.4072256196913</v>
      </c>
      <c r="P87" t="str">
        <f t="shared" si="0"/>
        <v>Value used</v>
      </c>
    </row>
    <row r="88" spans="2:16" ht="15.75">
      <c r="B88" s="4">
        <f>B85+1</f>
        <v>28</v>
      </c>
      <c r="C88" s="5" t="s">
        <v>100</v>
      </c>
      <c r="D88" s="5" t="s">
        <v>25</v>
      </c>
      <c r="E88" s="9">
        <f>[1]Gap_close!E25</f>
        <v>2.9062003167089676</v>
      </c>
      <c r="I88" s="4">
        <f>I85+1</f>
        <v>28</v>
      </c>
      <c r="J88" s="5" t="s">
        <v>100</v>
      </c>
      <c r="K88" s="5" t="s">
        <v>25</v>
      </c>
      <c r="L88" s="9">
        <v>1.8</v>
      </c>
      <c r="M88" s="9">
        <v>2.1031001583544837</v>
      </c>
      <c r="N88" s="9">
        <v>2.5046502375317257</v>
      </c>
      <c r="O88" s="9">
        <v>2.9062003167089676</v>
      </c>
      <c r="P88" t="str">
        <f t="shared" si="0"/>
        <v/>
      </c>
    </row>
    <row r="89" spans="2:16" ht="15.75">
      <c r="B89" s="4">
        <f>B88+1</f>
        <v>29</v>
      </c>
      <c r="C89" s="5" t="s">
        <v>101</v>
      </c>
      <c r="D89" s="5" t="s">
        <v>95</v>
      </c>
      <c r="E89" s="8">
        <f>[1]Gap_close!E28</f>
        <v>6.3920006148981718</v>
      </c>
      <c r="I89" s="4">
        <f>I88+1</f>
        <v>29</v>
      </c>
      <c r="J89" s="5" t="s">
        <v>101</v>
      </c>
      <c r="K89" s="5" t="s">
        <v>95</v>
      </c>
      <c r="L89" s="8">
        <v>1483.8020595773849</v>
      </c>
      <c r="M89" s="8">
        <v>100.21145636043828</v>
      </c>
      <c r="N89" s="8">
        <v>20.094755292310523</v>
      </c>
      <c r="O89" s="8">
        <v>6.3920006148981718</v>
      </c>
      <c r="P89" t="str">
        <f t="shared" si="0"/>
        <v/>
      </c>
    </row>
    <row r="90" spans="2:16" ht="15.75">
      <c r="B90" s="4">
        <f t="shared" si="1"/>
        <v>30</v>
      </c>
      <c r="C90" s="7" t="s">
        <v>102</v>
      </c>
      <c r="D90" s="5" t="s">
        <v>15</v>
      </c>
      <c r="E90" s="8">
        <f>[1]Def_T!C25</f>
        <v>579.62119250410046</v>
      </c>
      <c r="F90" t="s">
        <v>103</v>
      </c>
      <c r="I90" s="4">
        <f t="shared" si="2"/>
        <v>30</v>
      </c>
      <c r="J90" s="7" t="s">
        <v>102</v>
      </c>
      <c r="K90" s="5" t="s">
        <v>15</v>
      </c>
      <c r="L90" s="8">
        <v>549.79614201309175</v>
      </c>
      <c r="M90" s="8">
        <v>572.34578129959584</v>
      </c>
      <c r="N90" s="8">
        <v>577.93880888131434</v>
      </c>
      <c r="O90" s="8">
        <v>579.62119250410046</v>
      </c>
      <c r="P90" t="str">
        <f t="shared" si="0"/>
        <v>(valid in case T-Flange is calculated)</v>
      </c>
    </row>
    <row r="91" spans="2:16" ht="15.75">
      <c r="B91" s="4">
        <f>B90+1</f>
        <v>31</v>
      </c>
      <c r="C91" s="5" t="s">
        <v>104</v>
      </c>
      <c r="D91" s="5" t="s">
        <v>15</v>
      </c>
      <c r="E91" s="8">
        <f>[1]Def_T!J10/1000</f>
        <v>298.39439776040422</v>
      </c>
      <c r="F91" t="s">
        <v>103</v>
      </c>
      <c r="I91" s="4">
        <f>I90+1</f>
        <v>31</v>
      </c>
      <c r="J91" s="5" t="s">
        <v>104</v>
      </c>
      <c r="K91" s="5" t="s">
        <v>15</v>
      </c>
      <c r="L91" s="8">
        <v>431.02794916761809</v>
      </c>
      <c r="M91" s="8">
        <v>330.74852994509934</v>
      </c>
      <c r="N91" s="8">
        <v>305.87604526965976</v>
      </c>
      <c r="O91" s="8">
        <v>298.39439776040422</v>
      </c>
      <c r="P91" t="str">
        <f t="shared" si="0"/>
        <v>(valid in case T-Flange is calculated)</v>
      </c>
    </row>
    <row r="92" spans="2:16" ht="15.75">
      <c r="B92" s="4"/>
      <c r="C92" s="7" t="s">
        <v>105</v>
      </c>
      <c r="D92" s="5" t="s">
        <v>15</v>
      </c>
      <c r="E92" s="8">
        <f>[1]calcFLS!BX32</f>
        <v>0</v>
      </c>
      <c r="F92" t="str">
        <f>"Inclination used: "&amp;TEXT([1]calcFLS!BV32,"0.00")&amp;"deg"</f>
        <v>Inclination used: 0.00deg</v>
      </c>
      <c r="I92" s="4"/>
      <c r="J92" s="7" t="s">
        <v>105</v>
      </c>
      <c r="K92" s="5" t="s">
        <v>15</v>
      </c>
      <c r="L92" s="15">
        <v>0</v>
      </c>
      <c r="M92" s="15">
        <v>0</v>
      </c>
      <c r="N92" s="15">
        <v>0</v>
      </c>
      <c r="O92" s="15">
        <v>0</v>
      </c>
      <c r="P92" t="str">
        <f t="shared" si="0"/>
        <v>Inclination used: 0.00deg</v>
      </c>
    </row>
    <row r="93" spans="2:16" ht="15.75">
      <c r="B93" s="4">
        <f>B91+1</f>
        <v>32</v>
      </c>
      <c r="C93" s="7" t="s">
        <v>106</v>
      </c>
      <c r="D93" s="5" t="s">
        <v>15</v>
      </c>
      <c r="E93" s="8">
        <f>E92+E90+E79</f>
        <v>1260.9468464396161</v>
      </c>
      <c r="I93" s="4">
        <f>I91+1</f>
        <v>32</v>
      </c>
      <c r="J93" s="7" t="s">
        <v>106</v>
      </c>
      <c r="K93" s="5" t="s">
        <v>15</v>
      </c>
      <c r="L93" s="8">
        <v>1794.1541531878652</v>
      </c>
      <c r="M93" s="8">
        <v>1378.9613729855218</v>
      </c>
      <c r="N93" s="8">
        <v>1290.6103604781506</v>
      </c>
      <c r="O93" s="8">
        <v>1260.9468464396161</v>
      </c>
      <c r="P93" t="str">
        <f t="shared" si="0"/>
        <v/>
      </c>
    </row>
    <row r="94" spans="2:16" ht="15.75">
      <c r="B94" s="4">
        <f t="shared" si="1"/>
        <v>33</v>
      </c>
      <c r="C94" s="5" t="s">
        <v>107</v>
      </c>
      <c r="D94" s="5" t="s">
        <v>15</v>
      </c>
      <c r="E94" s="8">
        <f>[1]calcFLS!BQ14</f>
        <v>3595</v>
      </c>
      <c r="I94" s="4">
        <f t="shared" si="2"/>
        <v>33</v>
      </c>
      <c r="J94" s="5" t="s">
        <v>107</v>
      </c>
      <c r="K94" s="5" t="s">
        <v>15</v>
      </c>
      <c r="L94" s="8">
        <v>3595</v>
      </c>
      <c r="M94" s="8">
        <v>3595</v>
      </c>
      <c r="N94" s="8">
        <v>3595</v>
      </c>
      <c r="O94" s="8">
        <v>3595</v>
      </c>
      <c r="P94" t="str">
        <f t="shared" si="0"/>
        <v/>
      </c>
    </row>
    <row r="95" spans="2:16" ht="15.75">
      <c r="B95" s="4">
        <f t="shared" si="1"/>
        <v>34</v>
      </c>
      <c r="C95" s="5" t="s">
        <v>108</v>
      </c>
      <c r="D95" s="5" t="s">
        <v>15</v>
      </c>
      <c r="E95" s="8">
        <f>[1]calcFLS!BP14</f>
        <v>2068.2520235998149</v>
      </c>
      <c r="F95" t="s">
        <v>47</v>
      </c>
      <c r="I95" s="4">
        <f t="shared" si="2"/>
        <v>34</v>
      </c>
      <c r="J95" s="5" t="s">
        <v>108</v>
      </c>
      <c r="K95" s="5" t="s">
        <v>15</v>
      </c>
      <c r="L95" s="8">
        <v>2068.2520235998149</v>
      </c>
      <c r="M95" s="8">
        <v>2068.2520235998149</v>
      </c>
      <c r="N95" s="8">
        <v>2068.2520235998149</v>
      </c>
      <c r="O95" s="8">
        <v>2068.2520235998149</v>
      </c>
      <c r="P95" t="str">
        <f t="shared" si="0"/>
        <v>(valid in case L-Flange is calculated)</v>
      </c>
    </row>
    <row r="96" spans="2:16" ht="15.75">
      <c r="B96" s="4">
        <f t="shared" si="1"/>
        <v>35</v>
      </c>
      <c r="C96" s="5" t="s">
        <v>108</v>
      </c>
      <c r="D96" s="5" t="s">
        <v>15</v>
      </c>
      <c r="E96" s="8">
        <f>[1]calcFLS!BP14</f>
        <v>2068.2520235998149</v>
      </c>
      <c r="F96" t="s">
        <v>103</v>
      </c>
      <c r="I96" s="4">
        <f t="shared" si="2"/>
        <v>35</v>
      </c>
      <c r="J96" s="5" t="s">
        <v>108</v>
      </c>
      <c r="K96" s="5" t="s">
        <v>15</v>
      </c>
      <c r="L96" s="15">
        <v>2068.2520235998149</v>
      </c>
      <c r="M96" s="15">
        <v>2068.2520235998149</v>
      </c>
      <c r="N96" s="15">
        <v>2068.2520235998149</v>
      </c>
      <c r="O96" s="15">
        <v>2068.2520235998149</v>
      </c>
      <c r="P96" t="str">
        <f t="shared" si="0"/>
        <v>(valid in case T-Flange is calculated)</v>
      </c>
    </row>
    <row r="97" spans="2:16" ht="15.75">
      <c r="B97" s="4">
        <f t="shared" si="1"/>
        <v>36</v>
      </c>
      <c r="C97" s="7" t="s">
        <v>109</v>
      </c>
      <c r="D97" s="5" t="s">
        <v>25</v>
      </c>
      <c r="E97" s="9">
        <f>[1]calcFLS!BQ9</f>
        <v>1.1112353497098411</v>
      </c>
      <c r="I97" s="4">
        <f t="shared" si="2"/>
        <v>36</v>
      </c>
      <c r="J97" s="7" t="s">
        <v>109</v>
      </c>
      <c r="K97" s="5" t="s">
        <v>25</v>
      </c>
      <c r="L97" s="9">
        <v>2.4286136732398829</v>
      </c>
      <c r="M97" s="9">
        <v>1.3446317340090279</v>
      </c>
      <c r="N97" s="9">
        <v>1.176771554766646</v>
      </c>
      <c r="O97" s="9">
        <v>1.1112353497098411</v>
      </c>
      <c r="P97" t="str">
        <f t="shared" si="0"/>
        <v/>
      </c>
    </row>
    <row r="98" spans="2:16">
      <c r="B98" s="4"/>
      <c r="C98" s="7" t="s">
        <v>110</v>
      </c>
      <c r="D98" s="5" t="s">
        <v>57</v>
      </c>
      <c r="E98" s="8">
        <f>[1]Gap_close!E15</f>
        <v>194.0980661142894</v>
      </c>
      <c r="I98" s="4"/>
      <c r="J98" s="7" t="s">
        <v>110</v>
      </c>
      <c r="K98" s="5" t="s">
        <v>57</v>
      </c>
      <c r="L98" s="8">
        <v>194.0980661142894</v>
      </c>
      <c r="M98" s="8">
        <v>194.0980661142894</v>
      </c>
      <c r="N98" s="8">
        <v>194.0980661142894</v>
      </c>
      <c r="O98" s="8">
        <v>194.0980661142894</v>
      </c>
      <c r="P98" t="str">
        <f t="shared" si="0"/>
        <v/>
      </c>
    </row>
    <row r="99" spans="2:16" ht="15.75">
      <c r="B99" s="4">
        <f>B97+1</f>
        <v>37</v>
      </c>
      <c r="C99" s="5" t="s">
        <v>111</v>
      </c>
      <c r="D99" s="5" t="s">
        <v>95</v>
      </c>
      <c r="E99" s="8">
        <f>[1]Gap_close!E65</f>
        <v>15956.782644600848</v>
      </c>
      <c r="I99" s="4">
        <f>I97+1</f>
        <v>37</v>
      </c>
      <c r="J99" s="5" t="s">
        <v>111</v>
      </c>
      <c r="K99" s="5" t="s">
        <v>95</v>
      </c>
      <c r="L99" s="8">
        <v>10245.332978022379</v>
      </c>
      <c r="M99" s="8">
        <v>14760.990385286221</v>
      </c>
      <c r="N99" s="8">
        <v>15661.360422673919</v>
      </c>
      <c r="O99" s="8">
        <v>15956.782644600848</v>
      </c>
      <c r="P99" t="str">
        <f t="shared" si="0"/>
        <v/>
      </c>
    </row>
    <row r="100" spans="2:16" ht="15.75">
      <c r="B100" s="4">
        <f t="shared" si="1"/>
        <v>38</v>
      </c>
      <c r="C100" s="5" t="s">
        <v>112</v>
      </c>
      <c r="D100" s="5" t="s">
        <v>15</v>
      </c>
      <c r="E100" s="16">
        <f>[1]Gap_close!E61</f>
        <v>1386.9263696642993</v>
      </c>
      <c r="I100" s="4">
        <f t="shared" si="2"/>
        <v>38</v>
      </c>
      <c r="J100" s="5" t="s">
        <v>112</v>
      </c>
      <c r="K100" s="5" t="s">
        <v>15</v>
      </c>
      <c r="L100" s="16">
        <v>823.89401242504141</v>
      </c>
      <c r="M100" s="16">
        <v>1261.6364319138888</v>
      </c>
      <c r="N100" s="16">
        <v>1355.5804720029787</v>
      </c>
      <c r="O100" s="16">
        <v>1386.9263696642993</v>
      </c>
      <c r="P100" t="str">
        <f t="shared" si="0"/>
        <v/>
      </c>
    </row>
    <row r="101" spans="2:16">
      <c r="B101" s="4">
        <f t="shared" si="1"/>
        <v>39</v>
      </c>
      <c r="C101" s="5" t="s">
        <v>113</v>
      </c>
      <c r="D101" s="5" t="s">
        <v>57</v>
      </c>
      <c r="E101" s="9">
        <f>[1]Gap_close!E64</f>
        <v>0.44780286498460981</v>
      </c>
      <c r="F101" t="s">
        <v>47</v>
      </c>
      <c r="I101" s="4">
        <f t="shared" si="2"/>
        <v>39</v>
      </c>
      <c r="J101" s="5" t="s">
        <v>113</v>
      </c>
      <c r="K101" s="5" t="s">
        <v>57</v>
      </c>
      <c r="L101" s="9">
        <v>0.41430870717841117</v>
      </c>
      <c r="M101" s="9">
        <v>0.4403495083656086</v>
      </c>
      <c r="N101" s="9">
        <v>0.44593813300367485</v>
      </c>
      <c r="O101" s="9">
        <v>0.44780286498460981</v>
      </c>
      <c r="P101" t="str">
        <f t="shared" si="0"/>
        <v>(valid in case L-Flange is calculated)</v>
      </c>
    </row>
    <row r="102" spans="2:16">
      <c r="B102" s="4">
        <f t="shared" si="1"/>
        <v>40</v>
      </c>
      <c r="C102" s="5" t="s">
        <v>113</v>
      </c>
      <c r="D102" s="5" t="s">
        <v>57</v>
      </c>
      <c r="E102" s="9">
        <f>E101</f>
        <v>0.44780286498460981</v>
      </c>
      <c r="F102" t="s">
        <v>103</v>
      </c>
      <c r="I102" s="4">
        <f t="shared" si="2"/>
        <v>40</v>
      </c>
      <c r="J102" s="5" t="s">
        <v>113</v>
      </c>
      <c r="K102" s="5" t="s">
        <v>57</v>
      </c>
      <c r="L102" s="9">
        <v>0.41430870717841117</v>
      </c>
      <c r="M102" s="9">
        <v>0.4403495083656086</v>
      </c>
      <c r="N102" s="9">
        <v>0.44593813300367485</v>
      </c>
      <c r="O102" s="9">
        <v>0.44780286498460981</v>
      </c>
      <c r="P102" t="str">
        <f t="shared" si="0"/>
        <v>(valid in case T-Flange is calculated)</v>
      </c>
    </row>
    <row r="103" spans="2:16" ht="15.75">
      <c r="B103" s="4"/>
      <c r="C103" s="5" t="s">
        <v>114</v>
      </c>
      <c r="D103" s="5" t="s">
        <v>15</v>
      </c>
      <c r="E103" s="17">
        <f>[1]calcFLS!G17</f>
        <v>14795</v>
      </c>
      <c r="I103" s="4"/>
      <c r="J103" s="5" t="s">
        <v>114</v>
      </c>
      <c r="K103" s="5" t="s">
        <v>15</v>
      </c>
      <c r="L103" s="17">
        <v>14795</v>
      </c>
      <c r="M103" s="17">
        <v>14795</v>
      </c>
      <c r="N103" s="17">
        <v>14795</v>
      </c>
      <c r="O103" s="17">
        <v>14795</v>
      </c>
      <c r="P103" t="str">
        <f t="shared" si="0"/>
        <v/>
      </c>
    </row>
    <row r="104" spans="2:16" ht="15.75">
      <c r="B104" s="4">
        <f>B102+1</f>
        <v>41</v>
      </c>
      <c r="C104" s="7" t="s">
        <v>115</v>
      </c>
      <c r="D104" s="5" t="s">
        <v>15</v>
      </c>
      <c r="E104" s="8">
        <f>[1]calcFLS!BH30</f>
        <v>-123.29166666666667</v>
      </c>
      <c r="I104" s="4">
        <f>I102+1</f>
        <v>41</v>
      </c>
      <c r="J104" s="7" t="s">
        <v>115</v>
      </c>
      <c r="K104" s="5" t="s">
        <v>15</v>
      </c>
      <c r="L104" s="8">
        <v>-123.29166666666667</v>
      </c>
      <c r="M104" s="8">
        <v>-123.29166666666667</v>
      </c>
      <c r="N104" s="8">
        <v>-123.29166666666667</v>
      </c>
      <c r="O104" s="8">
        <v>-123.29166666666667</v>
      </c>
      <c r="P104" t="str">
        <f t="shared" ref="P104:P120" si="3">IF(F104&lt;&gt;"",F104,"")</f>
        <v/>
      </c>
    </row>
    <row r="105" spans="2:16">
      <c r="B105" s="4">
        <f t="shared" si="1"/>
        <v>42</v>
      </c>
      <c r="D105" s="5"/>
      <c r="E105" s="6"/>
      <c r="I105" s="4">
        <f t="shared" si="2"/>
        <v>42</v>
      </c>
      <c r="K105" s="5"/>
      <c r="L105" s="6"/>
      <c r="M105" s="6"/>
      <c r="N105" s="6"/>
      <c r="O105" s="6"/>
      <c r="P105" t="str">
        <f t="shared" si="3"/>
        <v/>
      </c>
    </row>
    <row r="106" spans="2:16" ht="15.75">
      <c r="B106" s="4">
        <f t="shared" ref="B106:B117" si="4">B105+1</f>
        <v>43</v>
      </c>
      <c r="C106" s="5" t="s">
        <v>116</v>
      </c>
      <c r="D106" s="5" t="s">
        <v>15</v>
      </c>
      <c r="E106" s="8">
        <f>[1]calcFLS!BH32</f>
        <v>-804.6173206021823</v>
      </c>
      <c r="I106" s="4">
        <f t="shared" ref="I106:I117" si="5">I105+1</f>
        <v>43</v>
      </c>
      <c r="J106" s="5" t="s">
        <v>116</v>
      </c>
      <c r="K106" s="5" t="s">
        <v>15</v>
      </c>
      <c r="L106" s="8">
        <v>-1367.6496778414403</v>
      </c>
      <c r="M106" s="8">
        <v>-929.90725835259275</v>
      </c>
      <c r="N106" s="8">
        <v>-835.96321826350299</v>
      </c>
      <c r="O106" s="8">
        <v>-804.6173206021823</v>
      </c>
      <c r="P106" t="str">
        <f t="shared" si="3"/>
        <v/>
      </c>
    </row>
    <row r="107" spans="2:16" ht="15.75">
      <c r="B107" s="4">
        <f t="shared" si="4"/>
        <v>44</v>
      </c>
      <c r="C107" s="7" t="s">
        <v>117</v>
      </c>
      <c r="D107" s="5" t="s">
        <v>25</v>
      </c>
      <c r="E107" s="9">
        <f>[1]calcFLS!BP30</f>
        <v>9.3929742888128082E-2</v>
      </c>
      <c r="I107" s="4">
        <f t="shared" si="5"/>
        <v>44</v>
      </c>
      <c r="J107" s="7" t="s">
        <v>117</v>
      </c>
      <c r="K107" s="5" t="s">
        <v>25</v>
      </c>
      <c r="L107" s="9">
        <v>0.10620989951298034</v>
      </c>
      <c r="M107" s="9">
        <v>9.9720210072952314E-2</v>
      </c>
      <c r="N107" s="9">
        <v>9.6405054136533969E-2</v>
      </c>
      <c r="O107" s="9">
        <v>9.3929742888128082E-2</v>
      </c>
      <c r="P107" t="str">
        <f t="shared" si="3"/>
        <v/>
      </c>
    </row>
    <row r="108" spans="2:16" ht="15.75">
      <c r="B108" s="4">
        <f t="shared" si="4"/>
        <v>45</v>
      </c>
      <c r="C108" s="5" t="s">
        <v>118</v>
      </c>
      <c r="D108" s="5" t="s">
        <v>15</v>
      </c>
      <c r="E108" s="15">
        <f>[1]calcFLS!BP32</f>
        <v>2844.0016282513757</v>
      </c>
      <c r="I108" s="4">
        <f t="shared" si="5"/>
        <v>45</v>
      </c>
      <c r="J108" s="5" t="s">
        <v>118</v>
      </c>
      <c r="K108" s="5" t="s">
        <v>15</v>
      </c>
      <c r="L108" s="15">
        <v>2809.9184303374777</v>
      </c>
      <c r="M108" s="15">
        <v>2835.78206187448</v>
      </c>
      <c r="N108" s="15">
        <v>2841.6474302433694</v>
      </c>
      <c r="O108" s="15">
        <v>2844.0016282513757</v>
      </c>
      <c r="P108" t="str">
        <f t="shared" si="3"/>
        <v/>
      </c>
    </row>
    <row r="109" spans="2:16" ht="15.75">
      <c r="B109" s="4">
        <f t="shared" si="4"/>
        <v>46</v>
      </c>
      <c r="C109" s="7" t="s">
        <v>119</v>
      </c>
      <c r="D109" s="5" t="s">
        <v>25</v>
      </c>
      <c r="E109" s="9">
        <f>[1]calcFLS!BQ7*[1]calcFLS!BH16</f>
        <v>0.1423059102718657</v>
      </c>
      <c r="F109" t="s">
        <v>47</v>
      </c>
      <c r="I109" s="4">
        <f t="shared" si="5"/>
        <v>46</v>
      </c>
      <c r="J109" s="7" t="s">
        <v>119</v>
      </c>
      <c r="K109" s="5" t="s">
        <v>25</v>
      </c>
      <c r="L109" s="22">
        <v>0.1423059102718657</v>
      </c>
      <c r="M109" s="22">
        <v>0.1423059102718657</v>
      </c>
      <c r="N109" s="22">
        <v>0.1423059102718657</v>
      </c>
      <c r="O109" s="22">
        <v>0.1423059102718657</v>
      </c>
      <c r="P109" t="str">
        <f t="shared" si="3"/>
        <v>(valid in case L-Flange is calculated)</v>
      </c>
    </row>
    <row r="110" spans="2:16" ht="15.75">
      <c r="B110" s="4">
        <f t="shared" si="4"/>
        <v>47</v>
      </c>
      <c r="C110" s="7" t="s">
        <v>119</v>
      </c>
      <c r="D110" s="5" t="s">
        <v>25</v>
      </c>
      <c r="E110" s="9">
        <f>E109</f>
        <v>0.1423059102718657</v>
      </c>
      <c r="F110" t="s">
        <v>103</v>
      </c>
      <c r="I110" s="4">
        <f t="shared" si="5"/>
        <v>47</v>
      </c>
      <c r="J110" s="7" t="s">
        <v>119</v>
      </c>
      <c r="K110" s="5" t="s">
        <v>25</v>
      </c>
      <c r="L110" s="22">
        <v>0.1423059102718657</v>
      </c>
      <c r="M110" s="22">
        <v>0.1423059102718657</v>
      </c>
      <c r="N110" s="22">
        <v>0.1423059102718657</v>
      </c>
      <c r="O110" s="22">
        <v>0.1423059102718657</v>
      </c>
      <c r="P110" t="str">
        <f t="shared" si="3"/>
        <v>(valid in case T-Flange is calculated)</v>
      </c>
    </row>
    <row r="111" spans="2:16" ht="15.75">
      <c r="B111" s="4">
        <f t="shared" si="4"/>
        <v>48</v>
      </c>
      <c r="C111" s="7" t="s">
        <v>120</v>
      </c>
      <c r="D111" s="5" t="s">
        <v>121</v>
      </c>
      <c r="E111" s="18"/>
      <c r="F111" t="s">
        <v>122</v>
      </c>
      <c r="I111" s="4">
        <f t="shared" si="5"/>
        <v>48</v>
      </c>
      <c r="J111" s="7" t="s">
        <v>120</v>
      </c>
      <c r="K111" s="5" t="s">
        <v>121</v>
      </c>
      <c r="L111" s="18"/>
      <c r="M111" s="18"/>
      <c r="N111" s="18"/>
      <c r="O111" s="18"/>
      <c r="P111" t="str">
        <f t="shared" si="3"/>
        <v>Bending moment L-Flange as a function of external force Z</v>
      </c>
    </row>
    <row r="112" spans="2:16">
      <c r="B112" s="4">
        <f t="shared" si="4"/>
        <v>49</v>
      </c>
      <c r="C112" s="7" t="s">
        <v>123</v>
      </c>
      <c r="D112" s="5" t="s">
        <v>57</v>
      </c>
      <c r="E112" s="8">
        <f>[1]calcFLS!BL17</f>
        <v>112.77695050276786</v>
      </c>
      <c r="I112" s="4">
        <f t="shared" si="5"/>
        <v>49</v>
      </c>
      <c r="J112" s="7" t="s">
        <v>123</v>
      </c>
      <c r="K112" s="5" t="s">
        <v>57</v>
      </c>
      <c r="L112" s="8">
        <v>112.77695050276786</v>
      </c>
      <c r="M112" s="8">
        <v>112.77695050276786</v>
      </c>
      <c r="N112" s="8">
        <v>112.77695050276786</v>
      </c>
      <c r="O112" s="8">
        <v>112.77695050276786</v>
      </c>
      <c r="P112" t="str">
        <f t="shared" si="3"/>
        <v/>
      </c>
    </row>
    <row r="113" spans="2:16" ht="15.75">
      <c r="B113" s="4"/>
      <c r="C113" s="7" t="s">
        <v>124</v>
      </c>
      <c r="D113" s="5" t="s">
        <v>125</v>
      </c>
      <c r="E113" s="14">
        <f>[1]VDI2230!J40</f>
        <v>1.6641565715404047E-9</v>
      </c>
      <c r="F113" t="s">
        <v>126</v>
      </c>
      <c r="I113" s="4"/>
      <c r="J113" s="7" t="s">
        <v>124</v>
      </c>
      <c r="K113" s="5" t="s">
        <v>125</v>
      </c>
      <c r="L113" s="14">
        <v>1.6641565715404047E-9</v>
      </c>
      <c r="M113" s="14">
        <v>1.6641565715404047E-9</v>
      </c>
      <c r="N113" s="14">
        <v>1.6641565715404047E-9</v>
      </c>
      <c r="O113" s="14">
        <v>1.6641565715404047E-9</v>
      </c>
      <c r="P113" t="str">
        <f t="shared" si="3"/>
        <v>Bending resilience of bolt assembly</v>
      </c>
    </row>
    <row r="114" spans="2:16" ht="15.75">
      <c r="B114" s="4">
        <f>B112+1</f>
        <v>50</v>
      </c>
      <c r="C114" s="7" t="s">
        <v>120</v>
      </c>
      <c r="D114" s="5" t="s">
        <v>121</v>
      </c>
      <c r="E114" s="18"/>
      <c r="F114" t="s">
        <v>127</v>
      </c>
      <c r="I114" s="4">
        <f>I112+1</f>
        <v>50</v>
      </c>
      <c r="J114" s="7" t="s">
        <v>120</v>
      </c>
      <c r="K114" s="5" t="s">
        <v>121</v>
      </c>
      <c r="L114" s="18"/>
      <c r="M114" s="18"/>
      <c r="N114" s="18"/>
      <c r="O114" s="18"/>
      <c r="P114" t="str">
        <f t="shared" si="3"/>
        <v>Bending moment for T-Flange as a function of external force Z</v>
      </c>
    </row>
    <row r="115" spans="2:16" ht="15.75">
      <c r="B115" s="4">
        <f t="shared" si="4"/>
        <v>51</v>
      </c>
      <c r="C115" s="7" t="s">
        <v>128</v>
      </c>
      <c r="D115" s="5" t="s">
        <v>25</v>
      </c>
      <c r="E115" s="18"/>
      <c r="F115" t="s">
        <v>129</v>
      </c>
      <c r="I115" s="4">
        <f t="shared" si="5"/>
        <v>51</v>
      </c>
      <c r="J115" s="7" t="s">
        <v>128</v>
      </c>
      <c r="K115" s="5" t="s">
        <v>25</v>
      </c>
      <c r="L115" s="18"/>
      <c r="M115" s="18"/>
      <c r="N115" s="18"/>
      <c r="O115" s="18"/>
      <c r="P115" t="str">
        <f t="shared" si="3"/>
        <v>Intermediate values as function of Z</v>
      </c>
    </row>
    <row r="116" spans="2:16" ht="15.75">
      <c r="B116" s="4">
        <f t="shared" si="4"/>
        <v>52</v>
      </c>
      <c r="C116" s="7" t="s">
        <v>130</v>
      </c>
      <c r="D116" s="5" t="s">
        <v>25</v>
      </c>
      <c r="E116" s="18"/>
      <c r="F116" t="s">
        <v>129</v>
      </c>
      <c r="I116" s="4">
        <f t="shared" si="5"/>
        <v>52</v>
      </c>
      <c r="J116" s="7" t="s">
        <v>130</v>
      </c>
      <c r="K116" s="5" t="s">
        <v>25</v>
      </c>
      <c r="L116" s="18"/>
      <c r="M116" s="18"/>
      <c r="N116" s="18"/>
      <c r="O116" s="18"/>
      <c r="P116" t="str">
        <f t="shared" si="3"/>
        <v>Intermediate values as function of Z</v>
      </c>
    </row>
    <row r="117" spans="2:16" ht="15.75">
      <c r="B117" s="4">
        <f t="shared" si="4"/>
        <v>53</v>
      </c>
      <c r="C117" s="7" t="s">
        <v>131</v>
      </c>
      <c r="D117" s="5" t="s">
        <v>25</v>
      </c>
      <c r="E117" s="9">
        <f>[1]calcFLS!BQ30</f>
        <v>0.55288838292446807</v>
      </c>
      <c r="F117" t="s">
        <v>47</v>
      </c>
      <c r="I117" s="4">
        <f t="shared" si="5"/>
        <v>53</v>
      </c>
      <c r="J117" s="7" t="s">
        <v>131</v>
      </c>
      <c r="K117" s="5" t="s">
        <v>25</v>
      </c>
      <c r="L117" s="9">
        <v>0.44993544240730643</v>
      </c>
      <c r="M117" s="9">
        <v>0.52574076951576887</v>
      </c>
      <c r="N117" s="9">
        <v>0.54610142326888689</v>
      </c>
      <c r="O117" s="9">
        <v>0.55288838292446807</v>
      </c>
      <c r="P117" t="str">
        <f t="shared" si="3"/>
        <v>(valid in case L-Flange is calculated)</v>
      </c>
    </row>
    <row r="118" spans="2:16" ht="15.75">
      <c r="C118" s="7" t="s">
        <v>131</v>
      </c>
      <c r="D118" s="5" t="s">
        <v>25</v>
      </c>
      <c r="E118" s="9">
        <f>[1]calcFLS!AZ30</f>
        <v>8.0814590704625683E-2</v>
      </c>
      <c r="F118" t="s">
        <v>103</v>
      </c>
      <c r="J118" s="7" t="s">
        <v>131</v>
      </c>
      <c r="K118" s="5" t="s">
        <v>25</v>
      </c>
      <c r="L118" s="9">
        <v>0.10727912386859083</v>
      </c>
      <c r="M118" s="9">
        <v>9.1352017987722328E-2</v>
      </c>
      <c r="N118" s="9">
        <v>8.4881991618723215E-2</v>
      </c>
      <c r="O118" s="9">
        <v>8.0814590704625683E-2</v>
      </c>
      <c r="P118" t="str">
        <f t="shared" si="3"/>
        <v>(valid in case T-Flange is calculated)</v>
      </c>
    </row>
    <row r="119" spans="2:16" ht="15.75">
      <c r="B119" s="4">
        <f>B117+1</f>
        <v>54</v>
      </c>
      <c r="C119" s="7" t="s">
        <v>132</v>
      </c>
      <c r="D119" s="5" t="s">
        <v>121</v>
      </c>
      <c r="E119" s="15">
        <f>[1]calcFLS!BQ32</f>
        <v>-220.44280819205335</v>
      </c>
      <c r="F119" t="s">
        <v>47</v>
      </c>
      <c r="I119" s="4">
        <f>I117+1</f>
        <v>54</v>
      </c>
      <c r="J119" s="7" t="s">
        <v>132</v>
      </c>
      <c r="K119" s="5" t="s">
        <v>121</v>
      </c>
      <c r="L119" s="15">
        <v>-294.6254340226738</v>
      </c>
      <c r="M119" s="15">
        <v>-238.55882735848795</v>
      </c>
      <c r="N119" s="15">
        <v>-224.90238304205468</v>
      </c>
      <c r="O119" s="15">
        <v>-220.44280819205335</v>
      </c>
      <c r="P119" t="str">
        <f t="shared" si="3"/>
        <v>(valid in case L-Flange is calculated)</v>
      </c>
    </row>
    <row r="120" spans="2:16" ht="15.75">
      <c r="C120" s="7" t="s">
        <v>132</v>
      </c>
      <c r="D120" s="5" t="s">
        <v>121</v>
      </c>
      <c r="E120" s="9">
        <f>[1]calcFLS!AZ32</f>
        <v>-27.530526929680075</v>
      </c>
      <c r="F120" t="s">
        <v>103</v>
      </c>
      <c r="J120" s="7" t="s">
        <v>132</v>
      </c>
      <c r="K120" s="5" t="s">
        <v>121</v>
      </c>
      <c r="L120" s="15">
        <v>-66.746818608845928</v>
      </c>
      <c r="M120" s="15">
        <v>-36.842981020435509</v>
      </c>
      <c r="N120" s="15">
        <v>-30.246490334772563</v>
      </c>
      <c r="O120" s="15">
        <v>-27.530526929680075</v>
      </c>
      <c r="P120" t="str">
        <f t="shared" si="3"/>
        <v>(valid in case T-Flange is calculated)</v>
      </c>
    </row>
  </sheetData>
  <pageMargins left="0.7" right="0.7" top="0.78740157499999996" bottom="0.78740157499999996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GetAMD1Results">
                <anchor moveWithCells="1" sizeWithCells="1">
                  <from>
                    <xdr:col>11</xdr:col>
                    <xdr:colOff>95250</xdr:colOff>
                    <xdr:row>2</xdr:row>
                    <xdr:rowOff>152400</xdr:rowOff>
                  </from>
                  <to>
                    <xdr:col>13</xdr:col>
                    <xdr:colOff>333375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Seidel, Marc (SGRE OF S&amp;PR EN SUS)</dc:creator>
  <cp:lastModifiedBy>Seidel, Marc (SGRE OF S&amp;PR EN SUS)</cp:lastModifiedBy>
  <dcterms:created xsi:type="dcterms:W3CDTF">2024-05-19T11:35:39Z</dcterms:created>
  <dcterms:modified xsi:type="dcterms:W3CDTF">2024-05-19T11:36:40Z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2024-05-19T11:36:18Z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a2357ae5-6697-4d7a-93bb-5cb84a2fc1c0</vt:lpwstr>
  </property>
  <property fmtid="{D5CDD505-2E9C-101B-9397-08002B2CF9AE}" pid="8" name="MSIP_Label_6013f521-439d-4e48-8e98-41ab6c596aa7_ContentBits">
    <vt:lpwstr>0</vt:lpwstr>
  </property>
</Properties>
</file>