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228EA9BC-F735-4DB6-8925-83BA1191C0DF}" xr6:coauthVersionLast="47" xr6:coauthVersionMax="47" xr10:uidLastSave="{00000000-0000-0000-0000-000000000000}"/>
  <bookViews>
    <workbookView xWindow="-28920" yWindow="1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externalReferences>
    <externalReference r:id="rId6"/>
  </externalReference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61" i="16" a="1"/>
  <c r="F101" i="16" a="1"/>
  <c r="F100" i="16" a="1"/>
  <c r="F53" i="16" a="1"/>
  <c r="F86" i="16" a="1"/>
  <c r="F50" i="16" a="1"/>
  <c r="F79" i="16" a="1"/>
  <c r="F119" i="16" a="1"/>
  <c r="F89" i="16" a="1"/>
  <c r="F31" i="16" a="1"/>
  <c r="F106" i="16" a="1"/>
  <c r="F29" i="16" a="1"/>
  <c r="F87" i="16" a="1"/>
  <c r="F69" i="16" a="1"/>
  <c r="F70" i="16" a="1"/>
  <c r="F52" i="16" a="1"/>
  <c r="F72" i="16" a="1"/>
  <c r="F68" i="16" a="1"/>
  <c r="F48" i="16" a="1"/>
  <c r="F76" i="16" a="1"/>
  <c r="F113" i="16" a="1"/>
  <c r="F77" i="16" a="1"/>
  <c r="F30" i="16" a="1"/>
  <c r="F67" i="16" a="1"/>
  <c r="F83" i="16" a="1"/>
  <c r="F49" i="16" a="1"/>
  <c r="F37" i="16" a="1"/>
  <c r="F108" i="16" a="1"/>
  <c r="F99" i="16" a="1"/>
  <c r="F84" i="16" a="1"/>
  <c r="F97" i="16" a="1"/>
  <c r="F51" i="16" a="1"/>
  <c r="F36" i="16" a="1"/>
  <c r="F107" i="16" a="1"/>
  <c r="F82" i="16" a="1"/>
  <c r="F78" i="16" a="1"/>
  <c r="F60" i="16" a="1"/>
  <c r="F95" i="16" a="1"/>
  <c r="F81" i="16" a="1"/>
  <c r="F104" i="16" a="1"/>
  <c r="F117" i="16" a="1"/>
  <c r="F88" i="16" a="1"/>
  <c r="F112" i="16" a="1"/>
  <c r="F38" i="16" a="1"/>
  <c r="F71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J129" i="2"/>
  <c r="S153" i="2"/>
  <c r="S154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<sst xmlns="http://schemas.openxmlformats.org/spreadsheetml/2006/main" count="1558" uniqueCount="329">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</sst>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5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" fontId="6" fillId="8" borderId="32" xfId="1" applyNumberFormat="1" applyFont="1" applyFill="1" applyBorder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0" fontId="6" fillId="8" borderId="30" xfId="1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0" fontId="8" fillId="3" borderId="1" xfId="2" quotePrefix="1" applyFont="1" applyFill="1" applyBorder="1" applyAlignment="1">
      <alignment horizontal="left" vertical="center"/>
    </xf>
    <xf numFmtId="0" fontId="8" fillId="3" borderId="1" xfId="2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[1]calcFLS!$P$33</c:f>
              <c:strCache>
                <c:ptCount val="1"/>
                <c:pt idx="0">
                  <c:v>154:B&amp;B Reference; Bolt: 120xM80 ISO; D=7500mm; a=232.5mm; b=166.5mm; s=72.0mm; s2=100.0mm; t=200.0mm; w=435.0mm; A=87000mm²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[1]Design!$AF$7:$AF$15</c:f>
              <c:numCache>
                <c:formatCode>General</c:formatCode>
                <c:ptCount val="9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</c:v>
                </c:pt>
                <c:pt idx="5">
                  <c:v>435</c:v>
                </c:pt>
                <c:pt idx="6">
                  <c:v>72</c:v>
                </c:pt>
                <c:pt idx="7">
                  <c:v>72</c:v>
                </c:pt>
                <c:pt idx="8">
                  <c:v>36</c:v>
                </c:pt>
              </c:numCache>
            </c:numRef>
          </c:xVal>
          <c:yVal>
            <c:numRef>
              <c:f>[1]Design!$AG$7:$AG$15</c:f>
              <c:numCache>
                <c:formatCode>General</c:formatCode>
                <c:ptCount val="9"/>
                <c:pt idx="0">
                  <c:v>266</c:v>
                </c:pt>
                <c:pt idx="1">
                  <c:v>230</c:v>
                </c:pt>
                <c:pt idx="2">
                  <c:v>200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200</c:v>
                </c:pt>
                <c:pt idx="7">
                  <c:v>230</c:v>
                </c:pt>
                <c:pt idx="8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[1]Design!$AF$18:$AF$19</c:f>
              <c:numCache>
                <c:formatCode>General</c:formatCode>
                <c:ptCount val="2"/>
                <c:pt idx="0">
                  <c:v>202.5</c:v>
                </c:pt>
                <c:pt idx="1">
                  <c:v>202.5</c:v>
                </c:pt>
              </c:numCache>
            </c:numRef>
          </c:xVal>
          <c:yVal>
            <c:numRef>
              <c:f>[1]Design!$AG$18:$AG$19</c:f>
              <c:numCache>
                <c:formatCode>General</c:formatCode>
                <c:ptCount val="2"/>
                <c:pt idx="0">
                  <c:v>0</c:v>
                </c:pt>
                <c:pt idx="1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[1]Design!$AF$21:$AF$22</c:f>
              <c:numCache>
                <c:formatCode>General</c:formatCode>
                <c:ptCount val="2"/>
                <c:pt idx="0">
                  <c:v>162.5</c:v>
                </c:pt>
                <c:pt idx="1">
                  <c:v>162.5</c:v>
                </c:pt>
              </c:numCache>
            </c:numRef>
          </c:xVal>
          <c:yVal>
            <c:numRef>
              <c:f>[1]Design!$AG$21:$AG$22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[1]Design!$AF$24:$AF$25</c:f>
              <c:numCache>
                <c:formatCode>General</c:formatCode>
                <c:ptCount val="2"/>
                <c:pt idx="0">
                  <c:v>242.5</c:v>
                </c:pt>
                <c:pt idx="1">
                  <c:v>242.5</c:v>
                </c:pt>
              </c:numCache>
            </c:numRef>
          </c:xVal>
          <c:yVal>
            <c:numRef>
              <c:f>[1]Design!$AG$24:$AG$25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emensgamesa-my.sharepoint.com/personal/marc_seidel_siemensgamesa_com/Documents/Documents/80_Codes_and_Standards/IEC/61400-6/2023_Amendment/20_Flange_Example/2024_MonteCarlo/Flange_Design_2022_V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eted"/>
      <sheetName val="Notes"/>
      <sheetName val="Design"/>
      <sheetName val="Summary"/>
      <sheetName val="Summary_V2"/>
      <sheetName val="FEA_Summary"/>
      <sheetName val="DesignGaps_2"/>
      <sheetName val="AFToR_June2023"/>
      <sheetName val="Poly"/>
      <sheetName val="Flanges"/>
      <sheetName val="calcULS"/>
      <sheetName val="calcFLS"/>
      <sheetName val="AMD1"/>
      <sheetName val="Comp"/>
      <sheetName val="DesignGaps"/>
      <sheetName val="DesignGap_Table"/>
      <sheetName val="MonteCarlo"/>
      <sheetName val="Gap_close"/>
      <sheetName val="Def_T"/>
      <sheetName val="Inclination"/>
      <sheetName val="Coefficients"/>
      <sheetName val="MC_AllGaps"/>
      <sheetName val="S-N_Stud"/>
      <sheetName val="Bolts_short"/>
      <sheetName val="VDI2230"/>
      <sheetName val="Settlement"/>
      <sheetName val="Markov"/>
      <sheetName val="BOLT DATA"/>
      <sheetName val="ShellStiffness"/>
      <sheetName val="MeanStress"/>
      <sheetName val="Flange_SCF"/>
      <sheetName val="Flange_Design_2022_V22"/>
    </sheetNames>
    <definedNames>
      <definedName name="GetAMD1Results"/>
    </definedNames>
    <sheetDataSet>
      <sheetData sheetId="0"/>
      <sheetData sheetId="1"/>
      <sheetData sheetId="2">
        <row r="7">
          <cell r="AF7">
            <v>36</v>
          </cell>
          <cell r="AG7">
            <v>266</v>
          </cell>
        </row>
        <row r="8">
          <cell r="AF8">
            <v>0</v>
          </cell>
          <cell r="AG8">
            <v>230</v>
          </cell>
        </row>
        <row r="9">
          <cell r="AF9">
            <v>0</v>
          </cell>
          <cell r="AG9">
            <v>200</v>
          </cell>
        </row>
        <row r="10">
          <cell r="AF10">
            <v>0</v>
          </cell>
          <cell r="AG10">
            <v>0</v>
          </cell>
        </row>
        <row r="11">
          <cell r="AF11">
            <v>435</v>
          </cell>
          <cell r="AG11">
            <v>0</v>
          </cell>
        </row>
        <row r="12">
          <cell r="AF12">
            <v>435</v>
          </cell>
          <cell r="AG12">
            <v>200</v>
          </cell>
        </row>
        <row r="13">
          <cell r="AF13">
            <v>72</v>
          </cell>
          <cell r="AG13">
            <v>200</v>
          </cell>
        </row>
        <row r="14">
          <cell r="AF14">
            <v>72</v>
          </cell>
          <cell r="AG14">
            <v>230</v>
          </cell>
        </row>
        <row r="15">
          <cell r="AF15">
            <v>36</v>
          </cell>
          <cell r="AG15">
            <v>266</v>
          </cell>
        </row>
        <row r="18">
          <cell r="AF18">
            <v>202.5</v>
          </cell>
          <cell r="AG18">
            <v>0</v>
          </cell>
        </row>
        <row r="19">
          <cell r="AF19">
            <v>202.5</v>
          </cell>
          <cell r="AG19">
            <v>266</v>
          </cell>
        </row>
        <row r="21">
          <cell r="AF21">
            <v>162.5</v>
          </cell>
          <cell r="AG21">
            <v>0</v>
          </cell>
        </row>
        <row r="22">
          <cell r="AF22">
            <v>162.5</v>
          </cell>
          <cell r="AG22">
            <v>200</v>
          </cell>
        </row>
        <row r="24">
          <cell r="AF24">
            <v>242.5</v>
          </cell>
          <cell r="AG24">
            <v>0</v>
          </cell>
        </row>
        <row r="25">
          <cell r="AF25">
            <v>242.5</v>
          </cell>
          <cell r="AG25">
            <v>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3">
          <cell r="P33" t="str">
            <v>154:B&amp;B Reference; Bolt: 120xM80 ISO; D=7500mm; a=232.5mm; b=166.5mm; s=72.0mm; s2=100.0mm; t=200.0mm; w=435.0mm; A=87000mm²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zoomScaleNormal="100" workbookViewId="0">
      <pane ySplit="1" topLeftCell="A141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102</v>
      </c>
      <c r="C13" s="164"/>
      <c r="D13" s="163" t="s">
        <v>103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101</v>
      </c>
      <c r="C14" s="164"/>
      <c r="D14" s="163" t="s">
        <v>105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100</v>
      </c>
      <c r="C15" s="164"/>
      <c r="D15" s="163" t="s">
        <v>104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99</v>
      </c>
      <c r="C16" s="164"/>
      <c r="D16" s="163" t="str">
        <f>Title</f>
        <v>Flange Segment Analytical Model for 30°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98</v>
      </c>
      <c r="C17" s="164"/>
      <c r="D17" s="162" t="s">
        <v>328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97</v>
      </c>
      <c r="C18" s="164"/>
      <c r="D18" s="174"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48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48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306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307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308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f>1216/1000</f>
        <v>1.216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27">
        <v>1.8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5169.21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1483.8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14636.626798256961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0.41399999999999998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10244.9653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2.4286653342946511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-1244.3583528535567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29.999999999999996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0.10032183986561098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0.4315711874246439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141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102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101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100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99</v>
      </c>
      <c r="C16" s="164"/>
      <c r="D16" s="163" t="str">
        <f>Title</f>
        <v>Flange Segment Analytical Model for 60°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98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97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0.63600000000000001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2.1031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2212.11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100.21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5087.1057854974342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14760.496965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1.3446432594770816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-806.61560331250178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59.999999999999993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6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9.9715004706951826E-2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0.52569390293812568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141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102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101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100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99</v>
      </c>
      <c r="C16" s="164"/>
      <c r="D16" s="163" t="str">
        <f>Title</f>
        <v>Flange Segment Analytical Model for 90°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98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97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0.499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2.5046499999999998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1238.31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20.09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2768.4830383107897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15660.843568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1.1767773891792821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-712.67155330455603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90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6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9.6399566957856703E-2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0.54605228631186098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zoomScaleNormal="100" workbookViewId="0">
      <pane ySplit="1" topLeftCell="A138" activePane="bottomLeft" state="frozen"/>
      <selection pane="bottomLeft" activeCell="P145" sqref="P14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102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101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100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99</v>
      </c>
      <c r="C16" s="164"/>
      <c r="D16" s="163" t="str">
        <f>Title</f>
        <v>Flange Segment Analytical Model for 120°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98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97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160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0.44400000000000001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2.9062000000000001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800.41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6.39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1774.9582989094115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15956.288200000001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1.1112390055117838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-681.3256543935745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119.99999999999999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6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9.3924103466994507E-2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0.5528382900405413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abSelected="1" topLeftCell="A60" zoomScale="85" zoomScaleNormal="85" workbookViewId="0">
      <selection activeCell="G94" sqref="G94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18" ht="13.8">
      <c r="G20" s="141" t="s">
        <v>291</v>
      </c>
    </row>
    <row r="21" spans="2:18" ht="18">
      <c r="G21" s="142">
        <v>60</v>
      </c>
    </row>
    <row r="22" spans="2:18">
      <c r="G22" s="143">
        <f>MATCH(gap_angle,N48:Q48,0)</f>
        <v>2</v>
      </c>
    </row>
    <row r="23" spans="2:18">
      <c r="G23" s="143" t="str">
        <f>"Gap"&amp;gap_angle&amp;"deg"</f>
        <v>Gap60deg</v>
      </c>
    </row>
    <row r="26" spans="2:18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</row>
    <row r="27" spans="2:18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51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52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52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52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51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51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51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51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5">
        <f>B31+1</f>
        <v>4</v>
      </c>
      <c r="C35" s="134" t="s">
        <v>278</v>
      </c>
      <c r="D35" s="134" t="s">
        <v>129</v>
      </c>
      <c r="E35" s="133" cm="1">
        <f t="array" ref="E35">INDEX(N35:Q35,case_number)</f>
        <v>2466</v>
      </c>
      <c r="F35" s="133" t="s">
        <v>87</v>
      </c>
      <c r="G35" s="133"/>
      <c r="H35" s="136" t="s">
        <v>198</v>
      </c>
      <c r="I35" s="153"/>
      <c r="J35" s="136"/>
      <c r="K35" s="135">
        <f>K31+1</f>
        <v>4</v>
      </c>
      <c r="L35" s="134" t="s">
        <v>278</v>
      </c>
      <c r="M35" s="134" t="s">
        <v>129</v>
      </c>
      <c r="N35" s="133">
        <v>2466</v>
      </c>
      <c r="O35" s="133">
        <v>2466</v>
      </c>
      <c r="P35" s="133">
        <v>2466</v>
      </c>
      <c r="Q35" s="133">
        <v>2466</v>
      </c>
      <c r="R35" t="str">
        <f t="shared" si="0"/>
        <v>Limit value for HV bolts</v>
      </c>
    </row>
    <row r="36" spans="2:18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54"/>
      <c r="J36" s="155"/>
      <c r="K36" s="156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61"/>
      <c r="I37" s="154"/>
      <c r="J37" s="155"/>
      <c r="K37" s="156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61"/>
      <c r="I38" s="154"/>
      <c r="J38" s="155"/>
      <c r="K38" s="156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54"/>
      <c r="J39" s="155"/>
      <c r="K39" s="156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193</v>
      </c>
      <c r="D40" s="103" t="s">
        <v>276</v>
      </c>
      <c r="E40" s="107" cm="1">
        <f t="array" ref="E40">INDEX(N40:Q40,case_number)</f>
        <v>200</v>
      </c>
      <c r="F40" s="107" t="s">
        <v>87</v>
      </c>
      <c r="G40" s="107"/>
      <c r="I40" s="154"/>
      <c r="J40" s="155"/>
      <c r="K40" s="156"/>
      <c r="L40" s="105" t="s">
        <v>193</v>
      </c>
      <c r="M40" s="103" t="s">
        <v>276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57"/>
      <c r="J41" s="155"/>
      <c r="K41" s="156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57"/>
      <c r="J42" s="155"/>
      <c r="K42" s="156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321.69550000000004</v>
      </c>
      <c r="F43" s="107" t="s">
        <v>87</v>
      </c>
      <c r="G43" s="107"/>
      <c r="H43" t="s">
        <v>188</v>
      </c>
      <c r="I43" s="157"/>
      <c r="J43" s="155"/>
      <c r="K43" s="156">
        <f>K42+1</f>
        <v>8</v>
      </c>
      <c r="L43" s="103" t="s">
        <v>189</v>
      </c>
      <c r="M43" s="103" t="s">
        <v>185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321.69550000000004</v>
      </c>
      <c r="F44" s="107" t="s">
        <v>87</v>
      </c>
      <c r="G44" s="107"/>
      <c r="I44" s="157"/>
      <c r="J44" s="155"/>
      <c r="K44" s="156">
        <f>K43+1</f>
        <v>9</v>
      </c>
      <c r="L44" s="103" t="s">
        <v>187</v>
      </c>
      <c r="M44" s="103" t="s">
        <v>185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57"/>
      <c r="J45" s="155"/>
      <c r="K45" s="156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184</v>
      </c>
      <c r="D46" s="103" t="s">
        <v>129</v>
      </c>
      <c r="E46" s="111" cm="1">
        <f t="array" ref="E46">INDEX(N46:Q46,case_number)</f>
        <v>1320.324829474062</v>
      </c>
      <c r="F46" s="111" t="s">
        <v>87</v>
      </c>
      <c r="G46" s="111"/>
      <c r="I46" s="157"/>
      <c r="J46" s="155"/>
      <c r="K46" s="156"/>
      <c r="L46" s="103" t="s">
        <v>184</v>
      </c>
      <c r="M46" s="103" t="s">
        <v>129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57"/>
      <c r="J47" s="155"/>
      <c r="K47" s="156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182</v>
      </c>
      <c r="D48" s="103" t="s">
        <v>181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54"/>
      <c r="J48" s="155"/>
      <c r="K48" s="156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180</v>
      </c>
      <c r="D49" s="103" t="s">
        <v>174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323</v>
      </c>
      <c r="I49" s="157"/>
      <c r="J49" s="155"/>
      <c r="K49" s="156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57"/>
      <c r="J50" s="155"/>
      <c r="K50" s="156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57"/>
      <c r="J51" s="155"/>
      <c r="K51" s="156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0.74299999999999999</v>
      </c>
      <c r="G52" s="118">
        <f t="shared" ca="1" si="1"/>
        <v>6.2720701120667997E-4</v>
      </c>
      <c r="I52" s="157"/>
      <c r="J52" s="155"/>
      <c r="K52" s="156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0.63600000000000001</v>
      </c>
      <c r="G53" s="118">
        <f t="shared" ca="1" si="1"/>
        <v>3.9141828153373603E-4</v>
      </c>
      <c r="I53" s="157"/>
      <c r="J53" s="155"/>
      <c r="K53" s="156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57"/>
      <c r="J54" s="155"/>
      <c r="K54" s="156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57"/>
      <c r="J55" s="155"/>
      <c r="K55" s="156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57"/>
      <c r="J56" s="155"/>
      <c r="K56" s="156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0.58262609700472079</v>
      </c>
      <c r="F57" s="109" t="s">
        <v>87</v>
      </c>
      <c r="G57" s="109"/>
      <c r="I57" s="154"/>
      <c r="J57" s="155"/>
      <c r="K57" s="156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-0.46741282911895099</v>
      </c>
      <c r="F58" s="109" t="s">
        <v>87</v>
      </c>
      <c r="G58" s="109"/>
      <c r="I58" s="154"/>
      <c r="J58" s="155"/>
      <c r="K58" s="156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0.49094883784411425</v>
      </c>
      <c r="F59" s="113" t="s">
        <v>87</v>
      </c>
      <c r="G59" s="109"/>
      <c r="I59" s="157"/>
      <c r="J59" s="155"/>
      <c r="K59" s="156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57"/>
      <c r="J60" s="155"/>
      <c r="K60" s="156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167</v>
      </c>
      <c r="D61" s="103" t="s">
        <v>127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166</v>
      </c>
      <c r="I61" s="157"/>
      <c r="J61" s="155"/>
      <c r="K61" s="156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165</v>
      </c>
      <c r="D62" s="103"/>
      <c r="E62" s="132"/>
      <c r="F62" s="132"/>
      <c r="G62" s="132"/>
      <c r="H62" t="s">
        <v>164</v>
      </c>
      <c r="I62" s="157"/>
      <c r="J62" s="155"/>
      <c r="K62" s="156">
        <f>K60+1</f>
        <v>20</v>
      </c>
      <c r="L62" s="103" t="s">
        <v>165</v>
      </c>
      <c r="M62" s="103"/>
      <c r="N62" s="132"/>
      <c r="O62" s="132"/>
      <c r="P62" s="132"/>
      <c r="Q62" s="132"/>
      <c r="R62" t="str">
        <f t="shared" si="0"/>
        <v>Gap shape formula</v>
      </c>
    </row>
    <row r="63" spans="2:18">
      <c r="B63" s="106">
        <f>B62+1</f>
        <v>21</v>
      </c>
      <c r="C63" s="112" t="s">
        <v>163</v>
      </c>
      <c r="D63" s="103"/>
      <c r="E63" s="132"/>
      <c r="F63" s="132"/>
      <c r="G63" s="132"/>
      <c r="H63" t="s">
        <v>162</v>
      </c>
      <c r="I63" s="158"/>
      <c r="J63" s="155"/>
      <c r="K63" s="156">
        <f>K62+1</f>
        <v>21</v>
      </c>
      <c r="L63" s="112" t="s">
        <v>163</v>
      </c>
      <c r="M63" s="103"/>
      <c r="N63" s="132"/>
      <c r="O63" s="132"/>
      <c r="P63" s="132"/>
      <c r="Q63" s="132"/>
      <c r="R63" t="str">
        <f t="shared" si="0"/>
        <v>Stress range formula</v>
      </c>
    </row>
    <row r="64" spans="2:18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57"/>
      <c r="J64" s="155"/>
      <c r="K64" s="156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57"/>
      <c r="J65" s="155"/>
      <c r="K65" s="156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159</v>
      </c>
      <c r="D66" s="103"/>
      <c r="E66" s="132"/>
      <c r="F66" s="132"/>
      <c r="G66" s="132"/>
      <c r="H66" t="s">
        <v>158</v>
      </c>
      <c r="I66" s="157"/>
      <c r="J66" s="155"/>
      <c r="K66" s="156">
        <f>K65+1</f>
        <v>24</v>
      </c>
      <c r="L66" s="103" t="s">
        <v>159</v>
      </c>
      <c r="M66" s="103"/>
      <c r="N66" s="132"/>
      <c r="O66" s="132"/>
      <c r="P66" s="132"/>
      <c r="Q66" s="132"/>
      <c r="R66" t="str">
        <f t="shared" si="0"/>
        <v>Summarized formula for bolt force curve</v>
      </c>
    </row>
    <row r="67" spans="2:18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320</v>
      </c>
      <c r="D69" s="103" t="s">
        <v>129</v>
      </c>
      <c r="E69" s="108" cm="1">
        <f t="array" ref="E69">INDEX(N69:Q69,case_number)</f>
        <v>1696.4363831333353</v>
      </c>
      <c r="F69" s="108" cm="1">
        <f t="array" aca="1" ref="F69" ca="1">INDIRECT(sheet_name&amp;"!Point2.Z")</f>
        <v>1696.4509084501303</v>
      </c>
      <c r="G69" s="118">
        <f t="shared" ca="1" si="4"/>
        <v>8.5622525780704417E-6</v>
      </c>
      <c r="K69" s="106"/>
      <c r="L69" s="103" t="s">
        <v>320</v>
      </c>
      <c r="M69" s="103" t="s">
        <v>129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318</v>
      </c>
      <c r="D71" s="103" t="s">
        <v>129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139.05305712166626</v>
      </c>
      <c r="G71" s="118">
        <f t="shared" ca="1" si="4"/>
        <v>8.5714681291688551E-6</v>
      </c>
      <c r="K71" s="106"/>
      <c r="L71" s="103" t="s">
        <v>318</v>
      </c>
      <c r="M71" s="103" t="s">
        <v>129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317</v>
      </c>
      <c r="D72" s="103" t="s">
        <v>129</v>
      </c>
      <c r="E72" s="107" cm="1">
        <f t="array" ref="E72">INDEX(N72:Q72,case_number)</f>
        <v>2913.3330351123464</v>
      </c>
      <c r="F72" s="107" cm="1">
        <f t="array" aca="1" ref="F72" ca="1">INDIRECT(sheet_name&amp;"!Point3.Fs")</f>
        <v>2913.3319147472034</v>
      </c>
      <c r="G72" s="118">
        <f t="shared" ca="1" si="4"/>
        <v>-3.8456473373320486E-7</v>
      </c>
      <c r="K72" s="106"/>
      <c r="L72" s="103" t="s">
        <v>317</v>
      </c>
      <c r="M72" s="103" t="s">
        <v>129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316</v>
      </c>
      <c r="D73" s="103"/>
      <c r="E73" s="107" cm="1">
        <f t="array" ref="E73">INDEX(N73:Q73,case_number)</f>
        <v>743485843.40941381</v>
      </c>
      <c r="F73" s="110" t="s">
        <v>87</v>
      </c>
      <c r="G73" s="110"/>
      <c r="K73" s="106"/>
      <c r="L73" s="103" t="s">
        <v>316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315</v>
      </c>
      <c r="D74" s="103"/>
      <c r="E74" s="107" cm="1">
        <f t="array" ref="E74">INDEX(N74:Q74,case_number)</f>
        <v>120689.0282649705</v>
      </c>
      <c r="F74" s="111" t="s">
        <v>87</v>
      </c>
      <c r="G74" s="111"/>
      <c r="K74" s="106"/>
      <c r="L74" s="103" t="s">
        <v>315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314</v>
      </c>
      <c r="D75" s="103"/>
      <c r="E75" s="107" cm="1">
        <f t="array" ref="E75">INDEX(N75:Q75,case_number)</f>
        <v>103900346.66917758</v>
      </c>
      <c r="F75" s="111" t="s">
        <v>87</v>
      </c>
      <c r="G75" s="111"/>
      <c r="K75" s="106"/>
      <c r="L75" s="103" t="s">
        <v>314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313</v>
      </c>
      <c r="D76" s="103"/>
      <c r="E76" s="159" cm="1">
        <f t="array" ref="E76">INDEX(N76:Q76,case_number)</f>
        <v>1.6232861638834317E-4</v>
      </c>
      <c r="F76" s="159" cm="1">
        <f t="array" aca="1" ref="F76" ca="1">INDIRECT(sheet_name&amp;"!Fs_coeff.tens.2")*1000</f>
        <v>1.6232835882917454E-4</v>
      </c>
      <c r="G76" s="118">
        <f t="shared" ref="G76:G78" ca="1" si="5">(F76-E76)/E76</f>
        <v>-1.5866528918773755E-6</v>
      </c>
      <c r="K76" s="106"/>
      <c r="L76" s="105" t="s">
        <v>313</v>
      </c>
      <c r="M76" s="103"/>
      <c r="N76" s="150">
        <v>1.12113274823377E-4</v>
      </c>
      <c r="O76" s="150">
        <v>1.6232861638834317E-4</v>
      </c>
      <c r="P76" s="150">
        <v>1.8736291722182857E-4</v>
      </c>
      <c r="Q76" s="150">
        <v>2.0308508309270604E-4</v>
      </c>
    </row>
    <row r="77" spans="2:18" ht="15.6">
      <c r="B77" s="106"/>
      <c r="C77" s="105" t="s">
        <v>312</v>
      </c>
      <c r="D77" s="103"/>
      <c r="E77" s="159" cm="1">
        <f t="array" ref="E77">INDEX(N77:Q77,case_number)</f>
        <v>0.13974757904295831</v>
      </c>
      <c r="F77" s="159" cm="1">
        <f t="array" aca="1" ref="F77" ca="1">INDIRECT(sheet_name&amp;"!Fs_coeff.tens.1")</f>
        <v>0.13974247252157912</v>
      </c>
      <c r="G77" s="118">
        <f t="shared" ca="1" si="5"/>
        <v>-3.6541036447041404E-5</v>
      </c>
      <c r="K77" s="106"/>
      <c r="L77" s="105" t="s">
        <v>312</v>
      </c>
      <c r="M77" s="103"/>
      <c r="N77" s="150">
        <v>0.12797137708491083</v>
      </c>
      <c r="O77" s="150">
        <v>0.13974757904295831</v>
      </c>
      <c r="P77" s="150">
        <v>0.14260543972202608</v>
      </c>
      <c r="Q77" s="150">
        <v>0.14400693643367177</v>
      </c>
    </row>
    <row r="78" spans="2:18" ht="14.4">
      <c r="B78" s="106"/>
      <c r="C78" s="112" t="s">
        <v>311</v>
      </c>
      <c r="D78" s="103"/>
      <c r="E78" s="108" cm="1">
        <f t="array" ref="E78">INDEX(N78:Q78,case_number)</f>
        <v>2890.762181408068</v>
      </c>
      <c r="F78" s="107" cm="1">
        <f t="array" aca="1" ref="F78" ca="1">INDIRECT(sheet_name&amp;"!Fs_coeff.tens.0")/1000</f>
        <v>2890.7615557316503</v>
      </c>
      <c r="G78" s="118">
        <f t="shared" ca="1" si="5"/>
        <v>-2.1643994851476227E-7</v>
      </c>
      <c r="K78" s="106"/>
      <c r="L78" s="112" t="s">
        <v>311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806.61559168592612</v>
      </c>
      <c r="F79" s="107" cm="1">
        <f t="array" aca="1" ref="F79" ca="1">-INDIRECT(sheet_name&amp;"!DZ_gap")</f>
        <v>806.61560331250178</v>
      </c>
      <c r="G79" s="118">
        <f ca="1">(F79-E79)/E79</f>
        <v>1.4414022956968493E-8</v>
      </c>
      <c r="I79" s="152"/>
      <c r="K79" s="106">
        <f>K66+1</f>
        <v>25</v>
      </c>
      <c r="L79" s="105" t="s">
        <v>157</v>
      </c>
      <c r="M79" s="103" t="s">
        <v>129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146</v>
      </c>
      <c r="D80" s="103" t="s">
        <v>145</v>
      </c>
      <c r="E80" s="111" cm="1">
        <f t="array" ref="E80">INDEX(N80:Q80,case_number)</f>
        <v>37149.333128699305</v>
      </c>
      <c r="F80" s="111" t="s">
        <v>87</v>
      </c>
      <c r="G80" s="111"/>
      <c r="I80" s="151"/>
      <c r="K80" s="106"/>
      <c r="L80" s="103" t="s">
        <v>146</v>
      </c>
      <c r="M80" s="103" t="s">
        <v>145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144</v>
      </c>
      <c r="D81" s="103" t="s">
        <v>275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</v>
      </c>
      <c r="G81" s="118">
        <f t="shared" ref="G81:G83" ca="1" si="7">(F81-E81)/E81</f>
        <v>-3.4643772397634438E-9</v>
      </c>
      <c r="I81" s="151"/>
      <c r="K81" s="106"/>
      <c r="L81" s="103" t="s">
        <v>144</v>
      </c>
      <c r="M81" s="103" t="s">
        <v>275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</v>
      </c>
      <c r="G82" s="118">
        <f t="shared" ca="1" si="7"/>
        <v>0</v>
      </c>
      <c r="I82" s="151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</v>
      </c>
      <c r="G83" s="118">
        <f t="shared" ca="1" si="7"/>
        <v>0</v>
      </c>
      <c r="I83" s="151"/>
      <c r="K83" s="106"/>
      <c r="L83" s="103" t="s">
        <v>149</v>
      </c>
      <c r="M83" s="103" t="s">
        <v>275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51"/>
      <c r="K84" s="106">
        <f>K79+1</f>
        <v>26</v>
      </c>
      <c r="L84" s="103" t="s">
        <v>156</v>
      </c>
      <c r="M84" s="103" t="s">
        <v>136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2010.5727094753945</v>
      </c>
      <c r="F85" s="111" t="s">
        <v>87</v>
      </c>
      <c r="G85" s="111"/>
      <c r="H85" t="s">
        <v>155</v>
      </c>
      <c r="I85" s="151"/>
      <c r="K85" s="106">
        <f>K84+1</f>
        <v>27</v>
      </c>
      <c r="L85" s="103" t="s">
        <v>153</v>
      </c>
      <c r="M85" s="103" t="s">
        <v>136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153</v>
      </c>
      <c r="D86" s="103" t="s">
        <v>136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2212.11</v>
      </c>
      <c r="G86" s="118">
        <f ca="1">(F86-E86)/E86</f>
        <v>3.0654024751357306E-7</v>
      </c>
      <c r="H86" t="s">
        <v>154</v>
      </c>
      <c r="I86" s="151"/>
      <c r="K86" s="106"/>
      <c r="L86" s="103" t="s">
        <v>153</v>
      </c>
      <c r="M86" s="103" t="s">
        <v>136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153</v>
      </c>
      <c r="D87" s="103" t="s">
        <v>136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2212.11</v>
      </c>
      <c r="G87" s="118">
        <f ca="1">(F87-E87)/E87</f>
        <v>3.0654024751357306E-7</v>
      </c>
      <c r="H87" t="s">
        <v>152</v>
      </c>
      <c r="I87" s="151"/>
      <c r="K87" s="106"/>
      <c r="L87" s="103" t="s">
        <v>153</v>
      </c>
      <c r="M87" s="103" t="s">
        <v>136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</v>
      </c>
      <c r="G88" s="118">
        <f ca="1">(F88-E88)/E88</f>
        <v>-7.5295740490036232E-8</v>
      </c>
      <c r="I88" s="151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</v>
      </c>
      <c r="G89" s="118">
        <f ca="1">(F89-E89)/E89</f>
        <v>-1.4532873697042141E-5</v>
      </c>
      <c r="I89" s="151"/>
      <c r="K89" s="106">
        <f>K88+1</f>
        <v>29</v>
      </c>
      <c r="L89" s="103" t="s">
        <v>148</v>
      </c>
      <c r="M89" s="103" t="s">
        <v>136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572.34578129959584</v>
      </c>
      <c r="F90" s="110" t="s">
        <v>87</v>
      </c>
      <c r="G90" s="104"/>
      <c r="H90" t="s">
        <v>309</v>
      </c>
      <c r="I90" s="152"/>
      <c r="K90" s="106">
        <f>K89+1</f>
        <v>30</v>
      </c>
      <c r="L90" s="105" t="s">
        <v>147</v>
      </c>
      <c r="M90" s="103" t="s">
        <v>129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330.74852994509934</v>
      </c>
      <c r="F91" s="110" t="s">
        <v>87</v>
      </c>
      <c r="G91" s="104"/>
      <c r="H91" t="s">
        <v>309</v>
      </c>
      <c r="I91" s="151"/>
      <c r="K91" s="106">
        <f>K90+1</f>
        <v>31</v>
      </c>
      <c r="L91" s="103" t="s">
        <v>143</v>
      </c>
      <c r="M91" s="103" t="s">
        <v>129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t="s">
        <v>87</v>
      </c>
      <c r="G92" s="104"/>
      <c r="H92" t="str">
        <f>"Inclination used: "&amp;E92&amp;"deg"</f>
        <v>Inclination used: 0deg</v>
      </c>
      <c r="I92" s="152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1378.9613729855218</v>
      </c>
      <c r="F93" s="107" t="s">
        <v>87</v>
      </c>
      <c r="G93" s="107"/>
      <c r="I93" s="152"/>
      <c r="K93" s="106">
        <f>K91+1</f>
        <v>32</v>
      </c>
      <c r="L93" s="105" t="s">
        <v>141</v>
      </c>
      <c r="M93" s="103" t="s">
        <v>129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51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51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51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1.3446432594770816</v>
      </c>
      <c r="G97" s="118">
        <f ca="1">(F97-E97)/E97</f>
        <v>8.5714681293114124E-6</v>
      </c>
      <c r="I97" s="152"/>
      <c r="K97" s="106">
        <f>K96+1</f>
        <v>36</v>
      </c>
      <c r="L97" s="105" t="s">
        <v>138</v>
      </c>
      <c r="M97" s="103" t="s">
        <v>124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52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14760.496965</v>
      </c>
      <c r="G99" s="118">
        <f ca="1">(F99-E99)/E99</f>
        <v>-3.3427315738403335E-5</v>
      </c>
      <c r="I99" s="151"/>
      <c r="K99" s="106">
        <f>K97+1</f>
        <v>37</v>
      </c>
      <c r="L99" s="103" t="s">
        <v>137</v>
      </c>
      <c r="M99" s="103" t="s">
        <v>136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1261.6364319138888</v>
      </c>
      <c r="F100" s="111" cm="1">
        <f t="array" aca="1" ref="F100" ca="1">ROUND(INDIRECT(sheet_name&amp;"!Z2_tilde"),0)</f>
        <v>1262</v>
      </c>
      <c r="G100" s="118">
        <f ca="1">(F100-E100)/E100</f>
        <v>2.8817183533582925E-4</v>
      </c>
      <c r="I100" s="151"/>
      <c r="K100" s="106">
        <f>K99+1</f>
        <v>38</v>
      </c>
      <c r="L100" s="103" t="s">
        <v>135</v>
      </c>
      <c r="M100" s="103" t="s">
        <v>129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0.44</v>
      </c>
      <c r="G101" s="118">
        <f ca="1">(F101-E101)/E101</f>
        <v>-7.9370672379270907E-4</v>
      </c>
      <c r="H101" t="s">
        <v>310</v>
      </c>
      <c r="I101" s="151"/>
      <c r="K101" s="106">
        <f>K100+1</f>
        <v>39</v>
      </c>
      <c r="L101" s="103" t="s">
        <v>1</v>
      </c>
      <c r="M101" s="103" t="s">
        <v>127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0.4403495083656086</v>
      </c>
      <c r="F102" s="104"/>
      <c r="G102" s="104"/>
      <c r="H102" t="s">
        <v>309</v>
      </c>
      <c r="I102" s="151"/>
      <c r="K102" s="106">
        <f>K101+1</f>
        <v>40</v>
      </c>
      <c r="L102" s="103" t="s">
        <v>1</v>
      </c>
      <c r="M102" s="103" t="s">
        <v>127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51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52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-929.90725835259275</v>
      </c>
      <c r="F106" s="107" cm="1">
        <f t="array" aca="1" ref="F106" ca="1">INDIRECT(sheet_name&amp;"!point4.Z")</f>
        <v>-929.9072699791684</v>
      </c>
      <c r="G106" s="118">
        <f ca="1">(F106-E106)/E106</f>
        <v>1.2502941074583179E-8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9.9720210072952314E-2</v>
      </c>
      <c r="F107" s="113" cm="1">
        <f t="array" aca="1" ref="F107" ca="1">INDIRECT(sheet_name&amp;"!true_force_initial_slope")</f>
        <v>9.9715004706951826E-2</v>
      </c>
      <c r="G107" s="118">
        <f ca="1">(F107-E107)/E107</f>
        <v>-5.2199709534105006E-5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2835.78206187448</v>
      </c>
      <c r="F108" s="108" cm="1">
        <f t="array" aca="1" ref="F108" ca="1">INDIRECT(sheet_name&amp;"!point4.Fs")</f>
        <v>2835.7841606594966</v>
      </c>
      <c r="G108" s="118">
        <f ca="1">(F108-E108)/E108</f>
        <v>7.4010800930687565E-7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0.1423059102718657</v>
      </c>
      <c r="F109" s="104"/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0.1423059102718657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126</v>
      </c>
      <c r="D111" s="103" t="s">
        <v>122</v>
      </c>
      <c r="E111" s="132"/>
      <c r="F111" s="132"/>
      <c r="G111" s="132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32"/>
      <c r="O111" s="132"/>
      <c r="P111" s="132"/>
      <c r="Q111" s="132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112.77695050276699</v>
      </c>
      <c r="G112" s="118">
        <f ca="1">(F112-E112)/E112</f>
        <v>-7.6865186881076997E-15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126</v>
      </c>
      <c r="D114" s="103" t="s">
        <v>122</v>
      </c>
      <c r="E114" s="132"/>
      <c r="F114" s="132"/>
      <c r="G114" s="132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32"/>
      <c r="O114" s="132"/>
      <c r="P114" s="132"/>
      <c r="Q114" s="132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268</v>
      </c>
      <c r="D115" s="103" t="s">
        <v>124</v>
      </c>
      <c r="E115" s="132"/>
      <c r="F115" s="132"/>
      <c r="G115" s="132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32"/>
      <c r="O115" s="132"/>
      <c r="P115" s="132"/>
      <c r="Q115" s="132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266</v>
      </c>
      <c r="D116" s="103" t="s">
        <v>124</v>
      </c>
      <c r="E116" s="132"/>
      <c r="F116" s="132"/>
      <c r="G116" s="132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32"/>
      <c r="O116" s="132"/>
      <c r="P116" s="132"/>
      <c r="Q116" s="132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0.52574076951576887</v>
      </c>
      <c r="F117" s="113" cm="1">
        <f t="array" aca="1" ref="F117" ca="1">INDIRECT(sheet_name&amp;"!true_moment_initial_slope")</f>
        <v>0.52569390293812568</v>
      </c>
      <c r="G117" s="118">
        <f ca="1">(F117-E117)/E117</f>
        <v>-8.9143890602884094E-5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125</v>
      </c>
      <c r="D118" s="103" t="s">
        <v>124</v>
      </c>
      <c r="E118" s="113" cm="1">
        <f t="array" ref="E118">INDEX(N118:Q118,case_number)</f>
        <v>9.1352017987722328E-2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-238.55882735848795</v>
      </c>
      <c r="F119" s="108" cm="1">
        <f t="array" aca="1" ref="F119" ca="1">INDIRECT(sheet_name&amp;"!point4.Ms")</f>
        <v>-238.5376166630308</v>
      </c>
      <c r="G119" s="118">
        <f ca="1">(F119-E119)/E119</f>
        <v>-8.8911802979600851E-5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123</v>
      </c>
      <c r="D120" s="103" t="s">
        <v>122</v>
      </c>
      <c r="E120" s="108" cm="1">
        <f t="array" ref="E120">INDEX(N120:Q120,case_number)</f>
        <v>-36.842981020435509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1]!GetAMD1Results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327</vt:i4>
      </vt:variant>
    </vt:vector>
  </HeadingPairs>
  <TitlesOfParts>
    <vt:vector size="33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Marcello del Buono</cp:lastModifiedBy>
  <dcterms:created xsi:type="dcterms:W3CDTF">2024-03-07T08:42:31Z</dcterms:created>
  <dcterms:modified xsi:type="dcterms:W3CDTF">2024-05-29T08:58:26Z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