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trlProps/ctrlProp1.xml" ContentType="application/vnd.ms-excel.controlpropertie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celloB\mdb\!Progetti\!KCI\!SP2200052 - Bolt &amp; Beautiful\!pyflange-package\tests\validation\"/>
    </mc:Choice>
  </mc:AlternateContent>
  <xr:revisionPtr revIDLastSave="0" documentId="13_ncr:1_{6550611C-22F8-4217-9BFE-72617FDEF058}" xr6:coauthVersionLast="47" xr6:coauthVersionMax="47" xr10:uidLastSave="{00000000-0000-0000-0000-000000000000}"/>
  <bookViews>
    <workbookView xWindow="-28920" yWindow="-9165" windowWidth="29040" windowHeight="17520" activeTab="4" xr2:uid="{710C990D-69B5-462C-923E-A1886280CCCB}"/>
  </bookViews>
  <sheets>
    <sheet name="Gap30deg" sheetId="2" r:id="rId1"/>
    <sheet name="Gap60deg" sheetId="13" r:id="rId2"/>
    <sheet name="Gap90deg" sheetId="14" r:id="rId3"/>
    <sheet name="Gap120deg" sheetId="15" r:id="rId4"/>
    <sheet name="AMD1" sheetId="16" r:id="rId5"/>
  </sheets>
  <definedNames>
    <definedName name="a" localSheetId="3">Gap120deg!$J$36</definedName>
    <definedName name="a" localSheetId="0">Gap30deg!$J$36</definedName>
    <definedName name="a" localSheetId="1">Gap60deg!$J$36</definedName>
    <definedName name="a" localSheetId="2">Gap90deg!$J$36</definedName>
    <definedName name="a_prime" localSheetId="3">Gap120deg!$J$161</definedName>
    <definedName name="a_prime" localSheetId="0">Gap30deg!$J$161</definedName>
    <definedName name="a_prime" localSheetId="1">Gap60deg!$J$161</definedName>
    <definedName name="a_prime" localSheetId="2">Gap90deg!$J$161</definedName>
    <definedName name="a_star" localSheetId="3">Gap120deg!$J$162</definedName>
    <definedName name="a_star" localSheetId="0">Gap30deg!$J$162</definedName>
    <definedName name="a_star" localSheetId="1">Gap60deg!$J$162</definedName>
    <definedName name="a_star" localSheetId="2">Gap90deg!$J$162</definedName>
    <definedName name="b" localSheetId="3">Gap120deg!$J$37</definedName>
    <definedName name="b" localSheetId="0">Gap30deg!$J$37</definedName>
    <definedName name="b" localSheetId="1">Gap60deg!$J$37</definedName>
    <definedName name="b" localSheetId="2">Gap90deg!$J$37</definedName>
    <definedName name="bolt.As" localSheetId="3">Gap120deg!$J$157</definedName>
    <definedName name="bolt.As" localSheetId="0">Gap30deg!$J$157</definedName>
    <definedName name="bolt.As" localSheetId="1">Gap60deg!$J$157</definedName>
    <definedName name="bolt.As" localSheetId="2">Gap90deg!$J$157</definedName>
    <definedName name="bolt.axial_stiffness" localSheetId="3">Gap120deg!$J$155</definedName>
    <definedName name="bolt.axial_stiffness" localSheetId="0">Gap30deg!$J$155</definedName>
    <definedName name="bolt.axial_stiffness" localSheetId="1">Gap60deg!$J$155</definedName>
    <definedName name="bolt.axial_stiffness" localSheetId="2">Gap90deg!$J$155</definedName>
    <definedName name="bolt.bending_stiffness" localSheetId="3">Gap120deg!$J$156</definedName>
    <definedName name="bolt.bending_stiffness" localSheetId="0">Gap30deg!$J$156</definedName>
    <definedName name="bolt.bending_stiffness" localSheetId="1">Gap60deg!$J$156</definedName>
    <definedName name="bolt.bending_stiffness" localSheetId="2">Gap90deg!$J$156</definedName>
    <definedName name="bolt.Dn" localSheetId="3">Gap120deg!$J$48</definedName>
    <definedName name="bolt.Dn" localSheetId="0">Gap30deg!$J$48</definedName>
    <definedName name="bolt.Dn" localSheetId="1">Gap60deg!$J$48</definedName>
    <definedName name="bolt.Dn" localSheetId="2">Gap90deg!$J$48</definedName>
    <definedName name="bolt.Dsh" localSheetId="3">Gap120deg!$J$49</definedName>
    <definedName name="bolt.Dsh" localSheetId="0">Gap30deg!$J$49</definedName>
    <definedName name="bolt.Dsh" localSheetId="1">Gap60deg!$J$49</definedName>
    <definedName name="bolt.Dsh" localSheetId="2">Gap90deg!$J$49</definedName>
    <definedName name="bolt.E" localSheetId="3">Gap120deg!$J$54</definedName>
    <definedName name="bolt.E" localSheetId="0">Gap30deg!$J$54</definedName>
    <definedName name="bolt.E" localSheetId="1">Gap60deg!$J$54</definedName>
    <definedName name="bolt.E" localSheetId="2">Gap90deg!$J$54</definedName>
    <definedName name="bolt.fu" localSheetId="3">Gap120deg!$J$53</definedName>
    <definedName name="bolt.fu" localSheetId="0">Gap30deg!$J$53</definedName>
    <definedName name="bolt.fu" localSheetId="1">Gap60deg!$J$53</definedName>
    <definedName name="bolt.fu" localSheetId="2">Gap90deg!$J$53</definedName>
    <definedName name="bolt.fy" localSheetId="3">Gap120deg!$J$52</definedName>
    <definedName name="bolt.fy" localSheetId="0">Gap30deg!$J$52</definedName>
    <definedName name="bolt.fy" localSheetId="1">Gap60deg!$J$52</definedName>
    <definedName name="bolt.fy" localSheetId="2">Gap90deg!$J$52</definedName>
    <definedName name="bolt.Lsh" localSheetId="3">Gap120deg!$J$50</definedName>
    <definedName name="bolt.Lsh" localSheetId="0">Gap30deg!$J$50</definedName>
    <definedName name="bolt.Lsh" localSheetId="1">Gap60deg!$J$50</definedName>
    <definedName name="bolt.Lsh" localSheetId="2">Gap90deg!$J$50</definedName>
    <definedName name="bolt.pitch" localSheetId="3">Gap120deg!$J$51</definedName>
    <definedName name="bolt.pitch" localSheetId="0">Gap30deg!$J$51</definedName>
    <definedName name="bolt.pitch" localSheetId="1">Gap60deg!$J$51</definedName>
    <definedName name="bolt.pitch" localSheetId="2">Gap90deg!$J$51</definedName>
    <definedName name="bolt.pretension" localSheetId="3">Gap120deg!$J$55</definedName>
    <definedName name="bolt.pretension" localSheetId="0">Gap30deg!$J$55</definedName>
    <definedName name="bolt.pretension" localSheetId="1">Gap60deg!$J$55</definedName>
    <definedName name="bolt.pretension" localSheetId="2">Gap90deg!$J$55</definedName>
    <definedName name="bolt.size" localSheetId="3">Gap120deg!$J$47</definedName>
    <definedName name="bolt.size" localSheetId="0">Gap30deg!$J$47</definedName>
    <definedName name="bolt.size" localSheetId="1">Gap60deg!$J$47</definedName>
    <definedName name="bolt.size" localSheetId="2">Gap90deg!$J$47</definedName>
    <definedName name="case_number" localSheetId="4">'AMD1'!$G$22</definedName>
    <definedName name="central_angle" localSheetId="3">Gap120deg!$J$40</definedName>
    <definedName name="central_angle" localSheetId="0">Gap30deg!$J$40</definedName>
    <definedName name="central_angle" localSheetId="1">Gap60deg!$J$40</definedName>
    <definedName name="central_angle" localSheetId="2">Gap90deg!$J$40</definedName>
    <definedName name="clamped_parts_stiffness" localSheetId="3">Gap120deg!$J$164</definedName>
    <definedName name="clamped_parts_stiffness" localSheetId="0">Gap30deg!$J$164</definedName>
    <definedName name="clamped_parts_stiffness" localSheetId="1">Gap60deg!$J$164</definedName>
    <definedName name="clamped_parts_stiffness" localSheetId="2">Gap90deg!$J$164</definedName>
    <definedName name="dataseries.Fs" localSheetId="3">Gap120deg!$O$67</definedName>
    <definedName name="dataseries.Fs" localSheetId="0">Gap30deg!$O$67</definedName>
    <definedName name="dataseries.Fs" localSheetId="1">Gap60deg!$O$67</definedName>
    <definedName name="dataseries.Fs" localSheetId="2">Gap90deg!$O$67</definedName>
    <definedName name="dataseries.Ms" localSheetId="3">Gap120deg!$O$68</definedName>
    <definedName name="dataseries.Ms" localSheetId="0">Gap30deg!$O$68</definedName>
    <definedName name="dataseries.Ms" localSheetId="1">Gap60deg!$O$68</definedName>
    <definedName name="dataseries.Ms" localSheetId="2">Gap90deg!$O$68</definedName>
    <definedName name="dataseries.Z" localSheetId="3">Gap120deg!$O$66</definedName>
    <definedName name="dataseries.Z" localSheetId="0">Gap30deg!$O$66</definedName>
    <definedName name="dataseries.Z" localSheetId="1">Gap60deg!$O$66</definedName>
    <definedName name="dataseries.Z" localSheetId="2">Gap90deg!$O$66</definedName>
    <definedName name="Do" localSheetId="3">Gap120deg!$J$56</definedName>
    <definedName name="Do" localSheetId="0">Gap30deg!$J$56</definedName>
    <definedName name="Do" localSheetId="1">Gap60deg!$J$56</definedName>
    <definedName name="Do" localSheetId="2">Gap90deg!$J$56</definedName>
    <definedName name="Dw" localSheetId="3">Gap120deg!$J$57</definedName>
    <definedName name="Dw" localSheetId="0">Gap30deg!$J$57</definedName>
    <definedName name="Dw" localSheetId="1">Gap60deg!$J$57</definedName>
    <definedName name="Dw" localSheetId="2">Gap90deg!$J$57</definedName>
    <definedName name="DZ_gap" localSheetId="3">Gap120deg!$J$148</definedName>
    <definedName name="DZ_gap" localSheetId="0">Gap30deg!$J$148</definedName>
    <definedName name="DZ_gap" localSheetId="1">Gap60deg!$J$148</definedName>
    <definedName name="DZ_gap" localSheetId="2">Gap90deg!$J$148</definedName>
    <definedName name="DZ_gap_inclination" localSheetId="3">Gap120deg!$J$147</definedName>
    <definedName name="DZ_gap_inclination" localSheetId="0">Gap30deg!$J$147</definedName>
    <definedName name="DZ_gap_inclination" localSheetId="1">Gap60deg!$J$147</definedName>
    <definedName name="DZ_gap_inclination" localSheetId="2">Gap90deg!$J$147</definedName>
    <definedName name="DZ_gap_tot" localSheetId="3">Gap120deg!$J$149</definedName>
    <definedName name="DZ_gap_tot" localSheetId="0">Gap30deg!$J$149</definedName>
    <definedName name="DZ_gap_tot" localSheetId="1">Gap60deg!$J$149</definedName>
    <definedName name="DZ_gap_tot" localSheetId="2">Gap90deg!$J$149</definedName>
    <definedName name="E_mod" localSheetId="3">Gap120deg!$J$43</definedName>
    <definedName name="E_mod" localSheetId="0">Gap30deg!$J$43</definedName>
    <definedName name="E_mod" localSheetId="1">Gap60deg!$J$43</definedName>
    <definedName name="E_mod" localSheetId="2">Gap90deg!$J$43</definedName>
    <definedName name="flange.A_cf" localSheetId="3">Gap120deg!$J$134</definedName>
    <definedName name="flange.A_cf" localSheetId="0">Gap30deg!$J$134</definedName>
    <definedName name="flange.A_cf" localSheetId="1">Gap60deg!$J$134</definedName>
    <definedName name="flange.A_cf" localSheetId="2">Gap90deg!$J$134</definedName>
    <definedName name="flange.I_cf" localSheetId="3">Gap120deg!$J$135</definedName>
    <definedName name="flange.I_cf" localSheetId="0">Gap30deg!$J$135</definedName>
    <definedName name="flange.I_cf" localSheetId="1">Gap60deg!$J$135</definedName>
    <definedName name="flange.I_cf" localSheetId="2">Gap90deg!$J$135</definedName>
    <definedName name="Fs_coeff.comp.0" localSheetId="3">Gap120deg!$I$90</definedName>
    <definedName name="Fs_coeff.comp.0" localSheetId="0">Gap30deg!$I$90</definedName>
    <definedName name="Fs_coeff.comp.0" localSheetId="1">Gap60deg!$I$90</definedName>
    <definedName name="Fs_coeff.comp.0" localSheetId="2">Gap90deg!$I$90</definedName>
    <definedName name="Fs_coeff.comp.1" localSheetId="3">Gap120deg!$J$90</definedName>
    <definedName name="Fs_coeff.comp.1" localSheetId="0">Gap30deg!$J$90</definedName>
    <definedName name="Fs_coeff.comp.1" localSheetId="1">Gap60deg!$J$90</definedName>
    <definedName name="Fs_coeff.comp.1" localSheetId="2">Gap90deg!$J$90</definedName>
    <definedName name="Fs_coeff.comp.2" localSheetId="3">Gap120deg!$K$90</definedName>
    <definedName name="Fs_coeff.comp.2" localSheetId="0">Gap30deg!$K$90</definedName>
    <definedName name="Fs_coeff.comp.2" localSheetId="1">Gap60deg!$K$90</definedName>
    <definedName name="Fs_coeff.comp.2" localSheetId="2">Gap90deg!$K$90</definedName>
    <definedName name="Fs_coeff.const" localSheetId="3">Gap120deg!$I$91</definedName>
    <definedName name="Fs_coeff.const" localSheetId="0">Gap30deg!$I$91</definedName>
    <definedName name="Fs_coeff.const" localSheetId="1">Gap60deg!$I$91</definedName>
    <definedName name="Fs_coeff.const" localSheetId="2">Gap90deg!$I$91</definedName>
    <definedName name="Fs_coeff.tens.0" localSheetId="3">Gap120deg!$I$89</definedName>
    <definedName name="Fs_coeff.tens.0" localSheetId="0">Gap30deg!$I$89</definedName>
    <definedName name="Fs_coeff.tens.0" localSheetId="1">Gap60deg!$I$89</definedName>
    <definedName name="Fs_coeff.tens.0" localSheetId="2">Gap90deg!$I$89</definedName>
    <definedName name="Fs_coeff.tens.1" localSheetId="3">Gap120deg!$J$89</definedName>
    <definedName name="Fs_coeff.tens.1" localSheetId="0">Gap30deg!$J$89</definedName>
    <definedName name="Fs_coeff.tens.1" localSheetId="1">Gap60deg!$J$89</definedName>
    <definedName name="Fs_coeff.tens.1" localSheetId="2">Gap90deg!$J$89</definedName>
    <definedName name="Fs_coeff.tens.2" localSheetId="3">Gap120deg!$K$89</definedName>
    <definedName name="Fs_coeff.tens.2" localSheetId="0">Gap30deg!$K$89</definedName>
    <definedName name="Fs_coeff.tens.2" localSheetId="1">Gap60deg!$K$89</definedName>
    <definedName name="Fs_coeff.tens.2" localSheetId="2">Gap90deg!$K$89</definedName>
    <definedName name="G_mod" localSheetId="3">Gap120deg!$J$44</definedName>
    <definedName name="G_mod" localSheetId="0">Gap30deg!$J$44</definedName>
    <definedName name="G_mod" localSheetId="1">Gap60deg!$J$44</definedName>
    <definedName name="G_mod" localSheetId="2">Gap90deg!$J$44</definedName>
    <definedName name="gap.angle" localSheetId="3">Gap120deg!$J$160</definedName>
    <definedName name="gap.angle" localSheetId="0">Gap30deg!$J$160</definedName>
    <definedName name="gap.angle" localSheetId="1">Gap60deg!$J$160</definedName>
    <definedName name="gap.angle" localSheetId="2">Gap90deg!$J$160</definedName>
    <definedName name="gap.COV" localSheetId="3">Gap120deg!$J$129</definedName>
    <definedName name="gap.COV" localSheetId="0">Gap30deg!$J$129</definedName>
    <definedName name="gap.COV" localSheetId="1">Gap60deg!$J$129</definedName>
    <definedName name="gap.COV" localSheetId="2">Gap90deg!$J$129</definedName>
    <definedName name="gap.h" localSheetId="3">Gap120deg!$J$60</definedName>
    <definedName name="gap.h" localSheetId="0">Gap30deg!$J$60</definedName>
    <definedName name="gap.h" localSheetId="1">Gap60deg!$J$60</definedName>
    <definedName name="gap.h" localSheetId="2">Gap90deg!$J$60</definedName>
    <definedName name="gap.k_fac" localSheetId="3">Gap120deg!$J$132</definedName>
    <definedName name="gap.k_fac" localSheetId="0">Gap30deg!$J$132</definedName>
    <definedName name="gap.k_fac" localSheetId="1">Gap60deg!$J$132</definedName>
    <definedName name="gap.k_fac" localSheetId="2">Gap90deg!$J$132</definedName>
    <definedName name="gap.k_fl" localSheetId="3">Gap120deg!$J$136</definedName>
    <definedName name="gap.k_fl" localSheetId="0">Gap30deg!$J$136</definedName>
    <definedName name="gap.k_fl" localSheetId="1">Gap60deg!$J$136</definedName>
    <definedName name="gap.k_fl" localSheetId="2">Gap90deg!$J$136</definedName>
    <definedName name="gap.k_mean" localSheetId="3">Gap120deg!$J$128</definedName>
    <definedName name="gap.k_mean" localSheetId="0">Gap30deg!$J$128</definedName>
    <definedName name="gap.k_mean" localSheetId="1">Gap60deg!$J$128</definedName>
    <definedName name="gap.k_mean" localSheetId="2">Gap90deg!$J$128</definedName>
    <definedName name="gap.k_shell" localSheetId="3">Gap120deg!$J$133</definedName>
    <definedName name="gap.k_shell" localSheetId="0">Gap30deg!$J$133</definedName>
    <definedName name="gap.k_shell" localSheetId="1">Gap60deg!$J$133</definedName>
    <definedName name="gap.k_shell" localSheetId="2">Gap90deg!$J$133</definedName>
    <definedName name="gap.L" localSheetId="3">Gap120deg!$J$61</definedName>
    <definedName name="gap.L" localSheetId="0">Gap30deg!$J$61</definedName>
    <definedName name="gap.L" localSheetId="1">Gap60deg!$J$61</definedName>
    <definedName name="gap.L" localSheetId="2">Gap90deg!$J$61</definedName>
    <definedName name="gap.stiffness" localSheetId="3">Gap120deg!$J$137</definedName>
    <definedName name="gap.stiffness" localSheetId="0">Gap30deg!$J$137</definedName>
    <definedName name="gap.stiffness" localSheetId="1">Gap60deg!$J$137</definedName>
    <definedName name="gap.stiffness" localSheetId="2">Gap90deg!$J$137</definedName>
    <definedName name="gap_angle" localSheetId="4">'AMD1'!$G$21</definedName>
    <definedName name="I_tg" localSheetId="3">Gap120deg!$J$163</definedName>
    <definedName name="I_tg" localSheetId="0">Gap30deg!$J$163</definedName>
    <definedName name="I_tg" localSheetId="1">Gap60deg!$J$163</definedName>
    <definedName name="I_tg" localSheetId="2">Gap90deg!$J$163</definedName>
    <definedName name="k_seg" localSheetId="3">Gap120deg!$J$141</definedName>
    <definedName name="k_seg" localSheetId="0">Gap30deg!$J$141</definedName>
    <definedName name="k_seg" localSheetId="1">Gap60deg!$J$141</definedName>
    <definedName name="k_seg" localSheetId="2">Gap90deg!$J$141</definedName>
    <definedName name="Ms_coeff.comp.0" localSheetId="3">Gap120deg!$I$120</definedName>
    <definedName name="Ms_coeff.comp.0" localSheetId="0">Gap30deg!$I$120</definedName>
    <definedName name="Ms_coeff.comp.0" localSheetId="1">Gap60deg!$I$120</definedName>
    <definedName name="Ms_coeff.comp.0" localSheetId="2">Gap90deg!$I$120</definedName>
    <definedName name="Ms_coeff.comp.1" localSheetId="3">Gap120deg!$J$120</definedName>
    <definedName name="Ms_coeff.comp.1" localSheetId="0">Gap30deg!$J$120</definedName>
    <definedName name="Ms_coeff.comp.1" localSheetId="1">Gap60deg!$J$120</definedName>
    <definedName name="Ms_coeff.comp.1" localSheetId="2">Gap90deg!$J$120</definedName>
    <definedName name="Ms_coeff.comp.2" localSheetId="3">Gap120deg!$K$120</definedName>
    <definedName name="Ms_coeff.comp.2" localSheetId="0">Gap30deg!$K$120</definedName>
    <definedName name="Ms_coeff.comp.2" localSheetId="1">Gap60deg!$K$120</definedName>
    <definedName name="Ms_coeff.comp.2" localSheetId="2">Gap90deg!$K$120</definedName>
    <definedName name="Ms_coeff.const" localSheetId="3">Gap120deg!$I$121</definedName>
    <definedName name="Ms_coeff.const" localSheetId="0">Gap30deg!$I$121</definedName>
    <definedName name="Ms_coeff.const" localSheetId="1">Gap60deg!$I$121</definedName>
    <definedName name="Ms_coeff.const" localSheetId="2">Gap90deg!$I$121</definedName>
    <definedName name="Ms_coeff.tens.0" localSheetId="3">Gap120deg!$I$119</definedName>
    <definedName name="Ms_coeff.tens.0" localSheetId="0">Gap30deg!$I$119</definedName>
    <definedName name="Ms_coeff.tens.0" localSheetId="1">Gap60deg!$I$119</definedName>
    <definedName name="Ms_coeff.tens.0" localSheetId="2">Gap90deg!$I$119</definedName>
    <definedName name="Ms_coeff.tens.1" localSheetId="3">Gap120deg!$J$119</definedName>
    <definedName name="Ms_coeff.tens.1" localSheetId="0">Gap30deg!$J$119</definedName>
    <definedName name="Ms_coeff.tens.1" localSheetId="1">Gap60deg!$J$119</definedName>
    <definedName name="Ms_coeff.tens.1" localSheetId="2">Gap90deg!$J$119</definedName>
    <definedName name="Ms_coeff.tens.2" localSheetId="3">Gap120deg!$K$119</definedName>
    <definedName name="Ms_coeff.tens.2" localSheetId="0">Gap30deg!$K$119</definedName>
    <definedName name="Ms_coeff.tens.2" localSheetId="1">Gap60deg!$K$119</definedName>
    <definedName name="Ms_coeff.tens.2" localSheetId="2">Gap90deg!$K$119</definedName>
    <definedName name="point1.Fs" localSheetId="3">Gap120deg!$K$83</definedName>
    <definedName name="point1.Fs" localSheetId="0">Gap30deg!$K$83</definedName>
    <definedName name="point1.Fs" localSheetId="1">Gap60deg!$K$83</definedName>
    <definedName name="point1.Fs" localSheetId="2">Gap90deg!$K$83</definedName>
    <definedName name="point1.Ms" localSheetId="3">Gap120deg!$K$113</definedName>
    <definedName name="point1.Ms" localSheetId="0">Gap30deg!$K$113</definedName>
    <definedName name="point1.Ms" localSheetId="1">Gap60deg!$K$113</definedName>
    <definedName name="point1.Ms" localSheetId="2">Gap90deg!$K$113</definedName>
    <definedName name="point1.Z" localSheetId="3">Gap120deg!$J$83</definedName>
    <definedName name="point1.Z" localSheetId="0">Gap30deg!$J$83</definedName>
    <definedName name="point1.Z" localSheetId="1">Gap60deg!$J$83</definedName>
    <definedName name="point1.Z" localSheetId="2">Gap90deg!$J$83</definedName>
    <definedName name="point2.Fs" localSheetId="3">Gap120deg!$K$84</definedName>
    <definedName name="point2.Fs" localSheetId="0">Gap30deg!$K$84</definedName>
    <definedName name="point2.Fs" localSheetId="1">Gap60deg!$K$84</definedName>
    <definedName name="point2.Fs" localSheetId="2">Gap90deg!$K$84</definedName>
    <definedName name="point2.Ms" localSheetId="3">Gap120deg!$K$114</definedName>
    <definedName name="point2.Ms" localSheetId="0">Gap30deg!$K$114</definedName>
    <definedName name="point2.Ms" localSheetId="1">Gap60deg!$K$114</definedName>
    <definedName name="point2.Ms" localSheetId="2">Gap90deg!$K$114</definedName>
    <definedName name="point2.Z" localSheetId="3">Gap120deg!$J$84</definedName>
    <definedName name="point2.Z" localSheetId="0">Gap30deg!$J$84</definedName>
    <definedName name="point2.Z" localSheetId="1">Gap60deg!$J$84</definedName>
    <definedName name="point2.Z" localSheetId="2">Gap90deg!$J$84</definedName>
    <definedName name="point3.Fs" localSheetId="3">Gap120deg!$K$85</definedName>
    <definedName name="point3.Fs" localSheetId="0">Gap30deg!$K$85</definedName>
    <definedName name="point3.Fs" localSheetId="1">Gap60deg!$K$85</definedName>
    <definedName name="point3.Fs" localSheetId="2">Gap90deg!$K$85</definedName>
    <definedName name="point3.Ms" localSheetId="3">Gap120deg!$K$115</definedName>
    <definedName name="point3.Ms" localSheetId="0">Gap30deg!$K$115</definedName>
    <definedName name="point3.Ms" localSheetId="1">Gap60deg!$K$115</definedName>
    <definedName name="point3.Ms" localSheetId="2">Gap90deg!$K$115</definedName>
    <definedName name="point3.Z" localSheetId="3">Gap120deg!$J$85</definedName>
    <definedName name="point3.Z" localSheetId="0">Gap30deg!$J$85</definedName>
    <definedName name="point3.Z" localSheetId="1">Gap60deg!$J$85</definedName>
    <definedName name="point3.Z" localSheetId="2">Gap90deg!$J$85</definedName>
    <definedName name="point4.Fs" localSheetId="3">Gap120deg!$K$86</definedName>
    <definedName name="point4.Fs" localSheetId="0">Gap30deg!$K$86</definedName>
    <definedName name="point4.Fs" localSheetId="1">Gap60deg!$K$86</definedName>
    <definedName name="point4.Fs" localSheetId="2">Gap90deg!$K$86</definedName>
    <definedName name="point4.Ms" localSheetId="3">Gap120deg!$K$116</definedName>
    <definedName name="point4.Ms" localSheetId="0">Gap30deg!$K$116</definedName>
    <definedName name="point4.Ms" localSheetId="1">Gap60deg!$K$116</definedName>
    <definedName name="point4.Ms" localSheetId="2">Gap90deg!$K$116</definedName>
    <definedName name="point4.Z" localSheetId="3">Gap120deg!$J$86</definedName>
    <definedName name="point4.Z" localSheetId="0">Gap30deg!$J$86</definedName>
    <definedName name="point4.Z" localSheetId="1">Gap60deg!$J$86</definedName>
    <definedName name="point4.Z" localSheetId="2">Gap90deg!$J$86</definedName>
    <definedName name="polynomial_initial_slope" localSheetId="3">Gap120deg!$J$152</definedName>
    <definedName name="polynomial_initial_slope" localSheetId="0">Gap30deg!$J$152</definedName>
    <definedName name="polynomial_initial_slope" localSheetId="1">Gap60deg!$J$152</definedName>
    <definedName name="polynomial_initial_slope" localSheetId="2">Gap90deg!$J$152</definedName>
    <definedName name="_xlnm.Print_Area" localSheetId="3">Gap120deg!$A$11:$K$176</definedName>
    <definedName name="_xlnm.Print_Area" localSheetId="0">Gap30deg!$A$11:$K$176</definedName>
    <definedName name="_xlnm.Print_Area" localSheetId="1">Gap60deg!$A$11:$K$176</definedName>
    <definedName name="_xlnm.Print_Area" localSheetId="2">Gap90deg!$A$11:$K$176</definedName>
    <definedName name="Radius" localSheetId="3">Gap120deg!$J$41</definedName>
    <definedName name="Radius" localSheetId="0">Gap30deg!$J$41</definedName>
    <definedName name="Radius" localSheetId="1">Gap60deg!$J$41</definedName>
    <definedName name="Radius" localSheetId="2">Gap90deg!$J$41</definedName>
    <definedName name="sheet_name" localSheetId="4">'AMD1'!$G$23</definedName>
    <definedName name="shell_thickness" localSheetId="3">Gap120deg!$J$38</definedName>
    <definedName name="shell_thickness" localSheetId="0">Gap30deg!$J$38</definedName>
    <definedName name="shell_thickness" localSheetId="1">Gap60deg!$J$38</definedName>
    <definedName name="shell_thickness" localSheetId="2">Gap90deg!$J$38</definedName>
    <definedName name="stiffness_correction_factor" localSheetId="3">Gap120deg!$J$142</definedName>
    <definedName name="stiffness_correction_factor" localSheetId="0">Gap30deg!$J$142</definedName>
    <definedName name="stiffness_correction_factor" localSheetId="1">Gap60deg!$J$142</definedName>
    <definedName name="stiffness_correction_factor" localSheetId="2">Gap90deg!$J$142</definedName>
    <definedName name="t" localSheetId="3">Gap120deg!$J$39</definedName>
    <definedName name="t" localSheetId="0">Gap30deg!$J$39</definedName>
    <definedName name="t" localSheetId="1">Gap60deg!$J$39</definedName>
    <definedName name="t" localSheetId="2">Gap90deg!$J$39</definedName>
    <definedName name="TemplateTitle" localSheetId="3">Gap120deg!$B$1</definedName>
    <definedName name="TemplateTitle" localSheetId="0">Gap30deg!$B$1</definedName>
    <definedName name="TemplateTitle" localSheetId="1">Gap60deg!$B$1</definedName>
    <definedName name="TemplateTitle" localSheetId="2">Gap90deg!$B$1</definedName>
    <definedName name="TemplateVersion" localSheetId="3">Gap120deg!$K$1</definedName>
    <definedName name="TemplateVersion" localSheetId="0">Gap30deg!$K$1</definedName>
    <definedName name="TemplateVersion" localSheetId="1">Gap60deg!$K$1</definedName>
    <definedName name="TemplateVersion" localSheetId="2">Gap90deg!$K$1</definedName>
    <definedName name="Title" localSheetId="3">Gap120deg!$B$11</definedName>
    <definedName name="Title" localSheetId="0">Gap30deg!$B$11</definedName>
    <definedName name="Title" localSheetId="1">Gap60deg!$B$11</definedName>
    <definedName name="Title" localSheetId="2">Gap90deg!$B$11</definedName>
    <definedName name="true_force_initial_slope" localSheetId="3">Gap120deg!$J$165</definedName>
    <definedName name="true_force_initial_slope" localSheetId="0">Gap30deg!$J$165</definedName>
    <definedName name="true_force_initial_slope" localSheetId="1">Gap60deg!$J$165</definedName>
    <definedName name="true_force_initial_slope" localSheetId="2">Gap90deg!$J$165</definedName>
    <definedName name="true_moment_initial_slope" localSheetId="3">Gap120deg!$J$166</definedName>
    <definedName name="true_moment_initial_slope" localSheetId="0">Gap30deg!$J$166</definedName>
    <definedName name="true_moment_initial_slope" localSheetId="1">Gap60deg!$J$166</definedName>
    <definedName name="true_moment_initial_slope" localSheetId="2">Gap90deg!$J$166</definedName>
    <definedName name="u" localSheetId="3">Gap120deg!$J$140</definedName>
    <definedName name="u" localSheetId="0">Gap30deg!$J$140</definedName>
    <definedName name="u" localSheetId="1">Gap60deg!$J$140</definedName>
    <definedName name="u" localSheetId="2">Gap90deg!$J$140</definedName>
    <definedName name="u_tol" localSheetId="3">Gap120deg!$J$127</definedName>
    <definedName name="u_tol" localSheetId="0">Gap30deg!$J$127</definedName>
    <definedName name="u_tol" localSheetId="1">Gap60deg!$J$127</definedName>
    <definedName name="u_tol" localSheetId="2">Gap90deg!$J$127</definedName>
    <definedName name="Z_2_td" localSheetId="3">Gap120deg!$J$146</definedName>
    <definedName name="Z_2_td" localSheetId="0">Gap30deg!$J$146</definedName>
    <definedName name="Z_2_td" localSheetId="1">Gap60deg!$J$146</definedName>
    <definedName name="Z_2_td" localSheetId="2">Gap90deg!$J$146</definedName>
    <definedName name="Z_dw" localSheetId="3">Gap120deg!$J$42</definedName>
    <definedName name="Z_dw" localSheetId="0">Gap30deg!$J$42</definedName>
    <definedName name="Z_dw" localSheetId="1">Gap60deg!$J$42</definedName>
    <definedName name="Z_dw" localSheetId="2">Gap90deg!$J$42</definedName>
    <definedName name="Z0" localSheetId="3">Gap120deg!$J$145</definedName>
    <definedName name="Z0" localSheetId="0">Gap30deg!$J$145</definedName>
    <definedName name="Z0" localSheetId="1">Gap60deg!$J$145</definedName>
    <definedName name="Z0" localSheetId="2">Gap90deg!$J$145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3" i="16" l="1" a="1"/>
  <c r="F79" i="16" a="1"/>
  <c r="F93" i="16" l="1"/>
  <c r="F79" i="16"/>
  <c r="E133" i="16" l="1" a="1"/>
  <c r="E133" i="16" s="1"/>
  <c r="E132" i="16" a="1"/>
  <c r="E132" i="16" s="1"/>
  <c r="E131" i="16" a="1"/>
  <c r="E131" i="16" s="1"/>
  <c r="E130" i="16" a="1"/>
  <c r="E130" i="16" s="1"/>
  <c r="E129" i="16" a="1"/>
  <c r="E129" i="16" s="1"/>
  <c r="E128" i="16" a="1"/>
  <c r="E128" i="16" s="1"/>
  <c r="E127" i="16" a="1"/>
  <c r="E127" i="16" s="1"/>
  <c r="E126" i="16" a="1"/>
  <c r="E126" i="16" s="1"/>
  <c r="E125" i="16" a="1"/>
  <c r="E125" i="16" s="1"/>
  <c r="E124" i="16" a="1"/>
  <c r="E124" i="16" s="1"/>
  <c r="E123" i="16" a="1"/>
  <c r="E123" i="16" s="1"/>
  <c r="E122" i="16" a="1"/>
  <c r="E122" i="16" s="1"/>
  <c r="E121" i="16" a="1"/>
  <c r="E121" i="16" s="1"/>
  <c r="G23" i="16"/>
  <c r="G22" i="16"/>
  <c r="E120" i="16" s="1" a="1"/>
  <c r="E120" i="16" s="1"/>
  <c r="R27" i="16"/>
  <c r="B28" i="16"/>
  <c r="K28" i="16"/>
  <c r="R28" i="16"/>
  <c r="R29" i="16"/>
  <c r="R30" i="16"/>
  <c r="B31" i="16"/>
  <c r="B35" i="16" s="1"/>
  <c r="B39" i="16" s="1"/>
  <c r="B41" i="16" s="1"/>
  <c r="B42" i="16" s="1"/>
  <c r="B43" i="16" s="1"/>
  <c r="B44" i="16" s="1"/>
  <c r="B45" i="16" s="1"/>
  <c r="B47" i="16" s="1"/>
  <c r="B52" i="16" s="1"/>
  <c r="B53" i="16" s="1"/>
  <c r="B55" i="16" s="1"/>
  <c r="B56" i="16" s="1"/>
  <c r="B57" i="16" s="1"/>
  <c r="B58" i="16" s="1"/>
  <c r="B59" i="16" s="1"/>
  <c r="B60" i="16" s="1"/>
  <c r="B62" i="16" s="1"/>
  <c r="B63" i="16" s="1"/>
  <c r="B64" i="16" s="1"/>
  <c r="B65" i="16" s="1"/>
  <c r="B66" i="16" s="1"/>
  <c r="B79" i="16" s="1"/>
  <c r="B84" i="16" s="1"/>
  <c r="B85" i="16" s="1"/>
  <c r="B88" i="16" s="1"/>
  <c r="B89" i="16" s="1"/>
  <c r="B90" i="16" s="1"/>
  <c r="B91" i="16" s="1"/>
  <c r="B93" i="16" s="1"/>
  <c r="B94" i="16" s="1"/>
  <c r="B95" i="16" s="1"/>
  <c r="B96" i="16" s="1"/>
  <c r="B97" i="16" s="1"/>
  <c r="B99" i="16" s="1"/>
  <c r="B100" i="16" s="1"/>
  <c r="B101" i="16" s="1"/>
  <c r="B102" i="16" s="1"/>
  <c r="B104" i="16" s="1"/>
  <c r="B105" i="16" s="1"/>
  <c r="B106" i="16" s="1"/>
  <c r="B107" i="16" s="1"/>
  <c r="B108" i="16" s="1"/>
  <c r="B109" i="16" s="1"/>
  <c r="B110" i="16" s="1"/>
  <c r="B111" i="16" s="1"/>
  <c r="B112" i="16" s="1"/>
  <c r="B114" i="16" s="1"/>
  <c r="B115" i="16" s="1"/>
  <c r="B116" i="16" s="1"/>
  <c r="B117" i="16" s="1"/>
  <c r="B119" i="16" s="1"/>
  <c r="K31" i="16"/>
  <c r="K35" i="16" s="1"/>
  <c r="K39" i="16" s="1"/>
  <c r="K41" i="16" s="1"/>
  <c r="K42" i="16" s="1"/>
  <c r="K43" i="16" s="1"/>
  <c r="K44" i="16" s="1"/>
  <c r="K45" i="16" s="1"/>
  <c r="K47" i="16" s="1"/>
  <c r="K52" i="16" s="1"/>
  <c r="K53" i="16" s="1"/>
  <c r="K55" i="16" s="1"/>
  <c r="K56" i="16" s="1"/>
  <c r="K57" i="16" s="1"/>
  <c r="K58" i="16" s="1"/>
  <c r="K59" i="16" s="1"/>
  <c r="K60" i="16" s="1"/>
  <c r="K62" i="16" s="1"/>
  <c r="K63" i="16" s="1"/>
  <c r="K64" i="16" s="1"/>
  <c r="K65" i="16" s="1"/>
  <c r="K66" i="16" s="1"/>
  <c r="K79" i="16" s="1"/>
  <c r="K84" i="16" s="1"/>
  <c r="K85" i="16" s="1"/>
  <c r="K88" i="16" s="1"/>
  <c r="K89" i="16" s="1"/>
  <c r="K90" i="16" s="1"/>
  <c r="K91" i="16" s="1"/>
  <c r="K93" i="16" s="1"/>
  <c r="K94" i="16" s="1"/>
  <c r="K95" i="16" s="1"/>
  <c r="K96" i="16" s="1"/>
  <c r="K97" i="16" s="1"/>
  <c r="K99" i="16" s="1"/>
  <c r="K100" i="16" s="1"/>
  <c r="K101" i="16" s="1"/>
  <c r="K102" i="16" s="1"/>
  <c r="K104" i="16" s="1"/>
  <c r="K105" i="16" s="1"/>
  <c r="K106" i="16" s="1"/>
  <c r="K107" i="16" s="1"/>
  <c r="K108" i="16" s="1"/>
  <c r="K109" i="16" s="1"/>
  <c r="K110" i="16" s="1"/>
  <c r="K111" i="16" s="1"/>
  <c r="K112" i="16" s="1"/>
  <c r="K114" i="16" s="1"/>
  <c r="K115" i="16" s="1"/>
  <c r="K116" i="16" s="1"/>
  <c r="K117" i="16" s="1"/>
  <c r="K119" i="16" s="1"/>
  <c r="R31" i="16"/>
  <c r="R32" i="16"/>
  <c r="R33" i="16"/>
  <c r="R34" i="16"/>
  <c r="R35" i="16"/>
  <c r="R36" i="16"/>
  <c r="R37" i="16"/>
  <c r="R39" i="16"/>
  <c r="R40" i="16"/>
  <c r="R41" i="16"/>
  <c r="R42" i="16"/>
  <c r="R43" i="16"/>
  <c r="R44" i="16"/>
  <c r="R45" i="16"/>
  <c r="R46" i="16"/>
  <c r="R47" i="16"/>
  <c r="R48" i="16"/>
  <c r="R49" i="16"/>
  <c r="R50" i="16"/>
  <c r="R51" i="16"/>
  <c r="R52" i="16"/>
  <c r="R53" i="16"/>
  <c r="R54" i="16"/>
  <c r="R55" i="16"/>
  <c r="R56" i="16"/>
  <c r="R57" i="16"/>
  <c r="R58" i="16"/>
  <c r="R59" i="16"/>
  <c r="R60" i="16"/>
  <c r="R61" i="16"/>
  <c r="R62" i="16"/>
  <c r="R63" i="16"/>
  <c r="R64" i="16"/>
  <c r="R65" i="16"/>
  <c r="R66" i="16"/>
  <c r="R79" i="16"/>
  <c r="R80" i="16"/>
  <c r="R81" i="16"/>
  <c r="R82" i="16"/>
  <c r="R83" i="16"/>
  <c r="R84" i="16"/>
  <c r="R85" i="16"/>
  <c r="R86" i="16"/>
  <c r="R87" i="16"/>
  <c r="R88" i="16"/>
  <c r="R89" i="16"/>
  <c r="R90" i="16"/>
  <c r="R91" i="16"/>
  <c r="R93" i="16"/>
  <c r="R94" i="16"/>
  <c r="R95" i="16"/>
  <c r="R96" i="16"/>
  <c r="R97" i="16"/>
  <c r="R98" i="16"/>
  <c r="R99" i="16"/>
  <c r="R100" i="16"/>
  <c r="R101" i="16"/>
  <c r="R102" i="16"/>
  <c r="R103" i="16"/>
  <c r="R104" i="16"/>
  <c r="R105" i="16"/>
  <c r="R106" i="16"/>
  <c r="R107" i="16"/>
  <c r="R108" i="16"/>
  <c r="R109" i="16"/>
  <c r="R110" i="16"/>
  <c r="R111" i="16"/>
  <c r="R112" i="16"/>
  <c r="R113" i="16"/>
  <c r="R114" i="16"/>
  <c r="R115" i="16"/>
  <c r="R116" i="16"/>
  <c r="R117" i="16"/>
  <c r="R118" i="16"/>
  <c r="R119" i="16"/>
  <c r="R120" i="16"/>
  <c r="F69" i="16" a="1"/>
  <c r="F101" i="16" a="1"/>
  <c r="F92" i="16" a="1"/>
  <c r="F100" i="16" a="1"/>
  <c r="F107" i="16" a="1"/>
  <c r="F67" i="16" a="1"/>
  <c r="F89" i="16" a="1"/>
  <c r="F113" i="16" a="1"/>
  <c r="F50" i="16" a="1"/>
  <c r="F77" i="16" a="1"/>
  <c r="F51" i="16" a="1"/>
  <c r="F72" i="16" a="1"/>
  <c r="F70" i="16" a="1"/>
  <c r="F112" i="16" a="1"/>
  <c r="F29" i="16" a="1"/>
  <c r="F87" i="16" a="1"/>
  <c r="F95" i="16" a="1"/>
  <c r="F48" i="16" a="1"/>
  <c r="F108" i="16" a="1"/>
  <c r="F76" i="16" a="1"/>
  <c r="F49" i="16" a="1"/>
  <c r="F81" i="16" a="1"/>
  <c r="F38" i="16" a="1"/>
  <c r="F97" i="16" a="1"/>
  <c r="F88" i="16" a="1"/>
  <c r="F37" i="16" a="1"/>
  <c r="F83" i="16" a="1"/>
  <c r="F119" i="16" a="1"/>
  <c r="F30" i="16" a="1"/>
  <c r="F60" i="16" a="1"/>
  <c r="F36" i="16" a="1"/>
  <c r="F31" i="16" a="1"/>
  <c r="F104" i="16" a="1"/>
  <c r="F68" i="16" a="1"/>
  <c r="F71" i="16" a="1"/>
  <c r="F78" i="16" a="1"/>
  <c r="F106" i="16" a="1"/>
  <c r="F117" i="16" a="1"/>
  <c r="F61" i="16" a="1"/>
  <c r="F86" i="16" a="1"/>
  <c r="F52" i="16" a="1"/>
  <c r="F82" i="16" a="1"/>
  <c r="F53" i="16" a="1"/>
  <c r="F84" i="16" a="1"/>
  <c r="F99" i="16" a="1"/>
  <c r="F100" i="16" l="1"/>
  <c r="F92" i="16"/>
  <c r="G92" i="16" s="1"/>
  <c r="F36" i="16"/>
  <c r="F113" i="16"/>
  <c r="F38" i="16"/>
  <c r="E37" i="16" a="1"/>
  <c r="E37" i="16" s="1"/>
  <c r="E61" i="16" a="1"/>
  <c r="E61" i="16" s="1"/>
  <c r="E78" i="16" a="1"/>
  <c r="E78" i="16" s="1"/>
  <c r="E90" i="16" a="1"/>
  <c r="E90" i="16" s="1"/>
  <c r="E102" i="16" a="1"/>
  <c r="E102" i="16" s="1"/>
  <c r="E38" i="16" a="1"/>
  <c r="E38" i="16" s="1"/>
  <c r="E67" i="16" a="1"/>
  <c r="E67" i="16" s="1"/>
  <c r="E91" i="16" a="1"/>
  <c r="E91" i="16" s="1"/>
  <c r="E39" i="16" a="1"/>
  <c r="E39" i="16" s="1"/>
  <c r="E51" i="16" a="1"/>
  <c r="E51" i="16" s="1"/>
  <c r="E68" i="16" a="1"/>
  <c r="E68" i="16" s="1"/>
  <c r="E80" i="16" a="1"/>
  <c r="E80" i="16" s="1"/>
  <c r="E92" i="16" a="1"/>
  <c r="E92" i="16" s="1"/>
  <c r="H92" i="16" s="1"/>
  <c r="R92" i="16" s="1"/>
  <c r="E104" i="16" a="1"/>
  <c r="E104" i="16" s="1"/>
  <c r="E28" i="16" a="1"/>
  <c r="E28" i="16" s="1"/>
  <c r="E40" i="16" a="1"/>
  <c r="E40" i="16" s="1"/>
  <c r="E52" i="16" a="1"/>
  <c r="E52" i="16" s="1"/>
  <c r="E69" i="16" a="1"/>
  <c r="E69" i="16" s="1"/>
  <c r="E81" i="16" a="1"/>
  <c r="E81" i="16" s="1"/>
  <c r="E93" i="16" a="1"/>
  <c r="E93" i="16" s="1"/>
  <c r="E106" i="16" a="1"/>
  <c r="E106" i="16" s="1"/>
  <c r="E29" i="16" a="1"/>
  <c r="E29" i="16" s="1"/>
  <c r="E41" i="16" a="1"/>
  <c r="E41" i="16" s="1"/>
  <c r="E53" i="16" a="1"/>
  <c r="E53" i="16" s="1"/>
  <c r="E70" i="16" a="1"/>
  <c r="E70" i="16" s="1"/>
  <c r="E82" i="16" a="1"/>
  <c r="E82" i="16" s="1"/>
  <c r="E94" i="16" a="1"/>
  <c r="E94" i="16" s="1"/>
  <c r="E107" i="16" a="1"/>
  <c r="E107" i="16" s="1"/>
  <c r="E30" i="16" a="1"/>
  <c r="E30" i="16" s="1"/>
  <c r="E42" i="16" a="1"/>
  <c r="E42" i="16" s="1"/>
  <c r="E54" i="16" a="1"/>
  <c r="E54" i="16" s="1"/>
  <c r="E71" i="16" a="1"/>
  <c r="E71" i="16" s="1"/>
  <c r="E83" i="16" a="1"/>
  <c r="E83" i="16" s="1"/>
  <c r="E95" i="16" a="1"/>
  <c r="E95" i="16" s="1"/>
  <c r="E108" i="16" a="1"/>
  <c r="E108" i="16" s="1"/>
  <c r="E31" i="16" a="1"/>
  <c r="E31" i="16" s="1"/>
  <c r="E43" i="16" a="1"/>
  <c r="E43" i="16" s="1"/>
  <c r="E55" i="16" a="1"/>
  <c r="E55" i="16" s="1"/>
  <c r="E72" i="16" a="1"/>
  <c r="E72" i="16" s="1"/>
  <c r="E84" i="16" a="1"/>
  <c r="E84" i="16" s="1"/>
  <c r="E96" i="16" a="1"/>
  <c r="E96" i="16" s="1"/>
  <c r="E109" i="16" a="1"/>
  <c r="E109" i="16" s="1"/>
  <c r="E32" i="16" a="1"/>
  <c r="E32" i="16" s="1"/>
  <c r="E56" i="16" a="1"/>
  <c r="E56" i="16" s="1"/>
  <c r="E73" i="16" a="1"/>
  <c r="E73" i="16" s="1"/>
  <c r="E85" i="16" a="1"/>
  <c r="E85" i="16" s="1"/>
  <c r="E97" i="16" a="1"/>
  <c r="E97" i="16" s="1"/>
  <c r="E110" i="16" a="1"/>
  <c r="E110" i="16" s="1"/>
  <c r="E33" i="16" a="1"/>
  <c r="E33" i="16" s="1"/>
  <c r="E44" i="16" a="1"/>
  <c r="E44" i="16" s="1"/>
  <c r="E57" i="16" a="1"/>
  <c r="E57" i="16" s="1"/>
  <c r="E74" i="16" a="1"/>
  <c r="E74" i="16" s="1"/>
  <c r="E86" i="16" a="1"/>
  <c r="E86" i="16" s="1"/>
  <c r="E98" i="16" a="1"/>
  <c r="E98" i="16" s="1"/>
  <c r="E112" i="16" a="1"/>
  <c r="E112" i="16" s="1"/>
  <c r="E34" i="16" a="1"/>
  <c r="E34" i="16" s="1"/>
  <c r="E45" i="16" a="1"/>
  <c r="E45" i="16" s="1"/>
  <c r="E58" i="16" a="1"/>
  <c r="E58" i="16" s="1"/>
  <c r="E75" i="16" a="1"/>
  <c r="E75" i="16" s="1"/>
  <c r="E87" i="16" a="1"/>
  <c r="E87" i="16" s="1"/>
  <c r="E99" i="16" a="1"/>
  <c r="E99" i="16" s="1"/>
  <c r="E113" i="16" a="1"/>
  <c r="E113" i="16" s="1"/>
  <c r="E35" i="16" a="1"/>
  <c r="E35" i="16" s="1"/>
  <c r="E46" i="16" a="1"/>
  <c r="E46" i="16" s="1"/>
  <c r="E59" i="16" a="1"/>
  <c r="E59" i="16" s="1"/>
  <c r="E76" i="16" a="1"/>
  <c r="E76" i="16" s="1"/>
  <c r="E88" i="16" a="1"/>
  <c r="E88" i="16" s="1"/>
  <c r="E100" i="16" a="1"/>
  <c r="E100" i="16" s="1"/>
  <c r="E117" i="16" a="1"/>
  <c r="E117" i="16" s="1"/>
  <c r="E36" i="16" a="1"/>
  <c r="E36" i="16" s="1"/>
  <c r="E48" i="16" a="1"/>
  <c r="E48" i="16" s="1"/>
  <c r="E60" i="16" a="1"/>
  <c r="E60" i="16" s="1"/>
  <c r="E77" i="16" a="1"/>
  <c r="E77" i="16" s="1"/>
  <c r="E89" i="16" a="1"/>
  <c r="E89" i="16" s="1"/>
  <c r="E101" i="16" a="1"/>
  <c r="E101" i="16" s="1"/>
  <c r="E118" i="16" a="1"/>
  <c r="E118" i="16" s="1"/>
  <c r="E49" i="16" a="1"/>
  <c r="E49" i="16" s="1"/>
  <c r="E119" i="16" a="1"/>
  <c r="E119" i="16" s="1"/>
  <c r="E50" i="16" a="1"/>
  <c r="E50" i="16" s="1"/>
  <c r="E79" i="16" a="1"/>
  <c r="E79" i="16" s="1"/>
  <c r="E103" i="16" a="1"/>
  <c r="E103" i="16" s="1"/>
  <c r="F76" i="16"/>
  <c r="F78" i="16"/>
  <c r="F77" i="16"/>
  <c r="F72" i="16"/>
  <c r="F71" i="16"/>
  <c r="F70" i="16"/>
  <c r="F69" i="16"/>
  <c r="F68" i="16"/>
  <c r="F67" i="16"/>
  <c r="F119" i="16"/>
  <c r="F108" i="16"/>
  <c r="F112" i="16"/>
  <c r="F117" i="16"/>
  <c r="F106" i="16"/>
  <c r="F107" i="16"/>
  <c r="F99" i="16"/>
  <c r="F81" i="16"/>
  <c r="F82" i="16"/>
  <c r="F87" i="16"/>
  <c r="F101" i="16"/>
  <c r="F95" i="16"/>
  <c r="F104" i="16"/>
  <c r="F84" i="16"/>
  <c r="F83" i="16"/>
  <c r="F97" i="16"/>
  <c r="F89" i="16"/>
  <c r="F86" i="16"/>
  <c r="F88" i="16"/>
  <c r="F51" i="16"/>
  <c r="F61" i="16"/>
  <c r="F48" i="16"/>
  <c r="F52" i="16"/>
  <c r="F49" i="16"/>
  <c r="F53" i="16"/>
  <c r="F37" i="16"/>
  <c r="F50" i="16"/>
  <c r="F60" i="16"/>
  <c r="F29" i="16"/>
  <c r="F30" i="16"/>
  <c r="F31" i="16"/>
  <c r="D17" i="15"/>
  <c r="D18" i="15"/>
  <c r="D16" i="15"/>
  <c r="D15" i="15"/>
  <c r="D14" i="15"/>
  <c r="D13" i="15"/>
  <c r="D18" i="13"/>
  <c r="D17" i="13"/>
  <c r="D16" i="13"/>
  <c r="D15" i="13"/>
  <c r="D14" i="13"/>
  <c r="D13" i="13"/>
  <c r="D13" i="14"/>
  <c r="D14" i="14"/>
  <c r="D15" i="14"/>
  <c r="D18" i="14"/>
  <c r="D17" i="14"/>
  <c r="S156" i="15"/>
  <c r="S155" i="15"/>
  <c r="A124" i="15"/>
  <c r="A159" i="15" s="1"/>
  <c r="J116" i="15"/>
  <c r="J115" i="15"/>
  <c r="J114" i="15"/>
  <c r="J113" i="15"/>
  <c r="A94" i="15"/>
  <c r="A112" i="15" s="1"/>
  <c r="A64" i="15"/>
  <c r="A82" i="15" s="1"/>
  <c r="A21" i="15"/>
  <c r="A59" i="15" s="1"/>
  <c r="S156" i="14"/>
  <c r="S155" i="14"/>
  <c r="A124" i="14"/>
  <c r="A159" i="14" s="1"/>
  <c r="J116" i="14"/>
  <c r="J115" i="14"/>
  <c r="J114" i="14"/>
  <c r="J113" i="14"/>
  <c r="A94" i="14"/>
  <c r="A112" i="14" s="1"/>
  <c r="A64" i="14"/>
  <c r="A88" i="14" s="1"/>
  <c r="A21" i="14"/>
  <c r="A59" i="14" s="1"/>
  <c r="D16" i="14"/>
  <c r="S156" i="13"/>
  <c r="S155" i="13"/>
  <c r="A124" i="13"/>
  <c r="A159" i="13" s="1"/>
  <c r="J116" i="13"/>
  <c r="J115" i="13"/>
  <c r="J114" i="13"/>
  <c r="J113" i="13"/>
  <c r="A94" i="13"/>
  <c r="A112" i="13" s="1"/>
  <c r="A64" i="13"/>
  <c r="A82" i="13" s="1"/>
  <c r="A21" i="13"/>
  <c r="A59" i="13" s="1"/>
  <c r="S155" i="2"/>
  <c r="S156" i="2"/>
  <c r="D16" i="2"/>
  <c r="G79" i="16" l="1"/>
  <c r="G119" i="16"/>
  <c r="G76" i="16"/>
  <c r="G52" i="16"/>
  <c r="G101" i="16"/>
  <c r="G78" i="16"/>
  <c r="G30" i="16"/>
  <c r="G38" i="16"/>
  <c r="R38" i="16"/>
  <c r="G112" i="16"/>
  <c r="G113" i="16"/>
  <c r="G104" i="16"/>
  <c r="G61" i="16"/>
  <c r="G82" i="16"/>
  <c r="G89" i="16"/>
  <c r="G71" i="16"/>
  <c r="G95" i="16"/>
  <c r="G67" i="16"/>
  <c r="G70" i="16"/>
  <c r="G88" i="16"/>
  <c r="G37" i="16"/>
  <c r="G99" i="16"/>
  <c r="G77" i="16"/>
  <c r="G48" i="16"/>
  <c r="G87" i="16"/>
  <c r="G51" i="16"/>
  <c r="G60" i="16"/>
  <c r="G86" i="16"/>
  <c r="G50" i="16"/>
  <c r="G81" i="16"/>
  <c r="G69" i="16"/>
  <c r="G83" i="16"/>
  <c r="G107" i="16"/>
  <c r="G49" i="16"/>
  <c r="G106" i="16"/>
  <c r="G108" i="16"/>
  <c r="G31" i="16"/>
  <c r="G29" i="16"/>
  <c r="G100" i="16"/>
  <c r="G68" i="16"/>
  <c r="G97" i="16"/>
  <c r="G53" i="16"/>
  <c r="G36" i="16"/>
  <c r="G84" i="16"/>
  <c r="G117" i="16"/>
  <c r="G72" i="16"/>
  <c r="A131" i="15"/>
  <c r="A46" i="15"/>
  <c r="A88" i="15"/>
  <c r="A35" i="15"/>
  <c r="A82" i="14"/>
  <c r="A35" i="14"/>
  <c r="A46" i="13"/>
  <c r="A35" i="13"/>
  <c r="A88" i="13"/>
  <c r="A131" i="13"/>
  <c r="A118" i="13"/>
  <c r="A154" i="13"/>
  <c r="A118" i="14"/>
  <c r="A154" i="14"/>
  <c r="A46" i="14"/>
  <c r="A131" i="14"/>
  <c r="A118" i="15"/>
  <c r="A154" i="15"/>
  <c r="A126" i="15"/>
  <c r="A144" i="15"/>
  <c r="A139" i="15"/>
  <c r="A151" i="15"/>
  <c r="A126" i="14"/>
  <c r="A144" i="14"/>
  <c r="A139" i="14"/>
  <c r="A151" i="14"/>
  <c r="A139" i="13"/>
  <c r="A126" i="13"/>
  <c r="A144" i="13"/>
  <c r="A151" i="13"/>
  <c r="A124" i="2"/>
  <c r="J116" i="2"/>
  <c r="J115" i="2"/>
  <c r="J114" i="2"/>
  <c r="J113" i="2"/>
  <c r="A94" i="2"/>
  <c r="A118" i="2" s="1"/>
  <c r="A21" i="2"/>
  <c r="A59" i="2" s="1"/>
  <c r="A64" i="2"/>
  <c r="A82" i="2" s="1"/>
  <c r="R112" i="2" l="1"/>
  <c r="R113" i="2" s="1"/>
  <c r="R114" i="2" s="1"/>
  <c r="R115" i="2" s="1"/>
  <c r="A159" i="2"/>
  <c r="A126" i="2"/>
  <c r="A151" i="2"/>
  <c r="A154" i="2"/>
  <c r="A139" i="2"/>
  <c r="A144" i="2"/>
  <c r="A131" i="2"/>
  <c r="A35" i="2"/>
  <c r="A46" i="2"/>
  <c r="A112" i="2"/>
  <c r="A8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<sst xmlns="http://schemas.openxmlformats.org/spreadsheetml/2006/main" count="1678" uniqueCount="348">
  <si>
    <t>u</t>
  </si>
  <si>
    <t>a*</t>
  </si>
  <si>
    <t>c)</t>
  </si>
  <si>
    <t>b)</t>
  </si>
  <si>
    <t>a)</t>
  </si>
  <si>
    <t>e)</t>
  </si>
  <si>
    <t>d)</t>
  </si>
  <si>
    <t>mm</t>
  </si>
  <si>
    <t>kN</t>
  </si>
  <si>
    <t xml:space="preserve">
</t>
  </si>
  <si>
    <t>approver</t>
  </si>
  <si>
    <t>checker</t>
  </si>
  <si>
    <t>author</t>
  </si>
  <si>
    <t>date</t>
  </si>
  <si>
    <t>description</t>
  </si>
  <si>
    <t>version</t>
  </si>
  <si>
    <t>Describe here the template. This text should provide the user with instruction about how to use the template.</t>
  </si>
  <si>
    <t>1.5</t>
  </si>
  <si>
    <t>ver.</t>
  </si>
  <si>
    <t>A4 Excel Calculation Template</t>
  </si>
  <si>
    <t>Flange Segment Parameters</t>
  </si>
  <si>
    <t>Distance between inner face of the flange and center of the bolt hole:</t>
  </si>
  <si>
    <t>a =</t>
  </si>
  <si>
    <t>Distance between center of the bolt hole and center-line of the shell:</t>
  </si>
  <si>
    <t>b =</t>
  </si>
  <si>
    <t>Shell thickness:</t>
  </si>
  <si>
    <t>s =</t>
  </si>
  <si>
    <t>Flange thickness:</t>
  </si>
  <si>
    <t>t =</t>
  </si>
  <si>
    <t>R =</t>
  </si>
  <si>
    <t>f)</t>
  </si>
  <si>
    <r>
      <t>Z</t>
    </r>
    <r>
      <rPr>
        <vertAlign val="subscript"/>
        <sz val="10"/>
        <color rgb="FF000000"/>
        <rFont val="Consolas"/>
        <family val="3"/>
      </rPr>
      <t>dw</t>
    </r>
    <r>
      <rPr>
        <sz val="10"/>
        <color rgb="FF000000"/>
        <rFont val="Consolas"/>
        <family val="3"/>
      </rPr>
      <t xml:space="preserve"> =</t>
    </r>
  </si>
  <si>
    <t>Bolt pretension:</t>
  </si>
  <si>
    <t>g)</t>
  </si>
  <si>
    <t>h)</t>
  </si>
  <si>
    <t>i)</t>
  </si>
  <si>
    <r>
      <t>F</t>
    </r>
    <r>
      <rPr>
        <vertAlign val="subscript"/>
        <sz val="10"/>
        <color rgb="FF000000"/>
        <rFont val="Consolas"/>
        <family val="3"/>
      </rPr>
      <t>v</t>
    </r>
    <r>
      <rPr>
        <sz val="10"/>
        <color rgb="FF000000"/>
        <rFont val="Consolas"/>
        <family val="3"/>
      </rPr>
      <t xml:space="preserve"> =</t>
    </r>
  </si>
  <si>
    <t>Bolt thread pitch:</t>
  </si>
  <si>
    <t>j)</t>
  </si>
  <si>
    <t>P =</t>
  </si>
  <si>
    <t>M80</t>
  </si>
  <si>
    <t>Bolt hole diameter:</t>
  </si>
  <si>
    <t>Washer diameter:</t>
  </si>
  <si>
    <t>Gap height:</t>
  </si>
  <si>
    <t>Gap length:</t>
  </si>
  <si>
    <r>
      <t>L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</si>
  <si>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u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</si>
  <si>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o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</si>
  <si>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w</t>
    </r>
    <r>
      <rPr>
        <sz val="10"/>
        <color rgb="FF000000"/>
        <rFont val="Consolas"/>
        <family val="3"/>
      </rPr>
      <t xml:space="preserve"> =</t>
    </r>
  </si>
  <si>
    <t>k)</t>
  </si>
  <si>
    <t>Flange modulus of elasticity:</t>
  </si>
  <si>
    <t>Flange shear modulus:</t>
  </si>
  <si>
    <t>E =</t>
  </si>
  <si>
    <t>G =</t>
  </si>
  <si>
    <t>GPa</t>
  </si>
  <si>
    <r>
      <t>F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Axial Force as a function of the shell pull</t>
    </r>
  </si>
  <si>
    <t>Ms [N·m}:</t>
  </si>
  <si>
    <t>Reference points</t>
  </si>
  <si>
    <t>Z [kN]</t>
  </si>
  <si>
    <t>Fs [kN]</t>
  </si>
  <si>
    <t>Point 2: flange at ultimate limit state</t>
  </si>
  <si>
    <t>Point 3: flange at small deformations</t>
  </si>
  <si>
    <t>Polynomial coefficients</t>
  </si>
  <si>
    <t>Point 4: gap completely closed</t>
  </si>
  <si>
    <r>
      <t>Compressive zone (Z4 &lt; Z &lt;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</si>
  <si>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r>
      <t>Closed gap zone (Z &lt; Z</t>
    </r>
    <r>
      <rPr>
        <vertAlign val="sub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):</t>
    </r>
  </si>
  <si>
    <r>
      <t>c</t>
    </r>
    <r>
      <rPr>
        <b/>
        <vertAlign val="subscript"/>
        <sz val="10"/>
        <color rgb="FFFFFFFF"/>
        <rFont val="Arial"/>
        <family val="2"/>
      </rPr>
      <t>1</t>
    </r>
  </si>
  <si>
    <r>
      <t>c</t>
    </r>
    <r>
      <rPr>
        <b/>
        <vertAlign val="subscript"/>
        <sz val="10"/>
        <color rgb="FFFFFFFF"/>
        <rFont val="Arial"/>
        <family val="2"/>
      </rPr>
      <t>2</t>
    </r>
  </si>
  <si>
    <r>
      <t>M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Bending Moment as a function of the shell pull</t>
    </r>
  </si>
  <si>
    <t>Ms [N·m]</t>
  </si>
  <si>
    <t>Reduced prying distance:</t>
  </si>
  <si>
    <t>a' =</t>
  </si>
  <si>
    <t>Ideal shell force at tensile ULS:</t>
  </si>
  <si>
    <r>
      <t>Z</t>
    </r>
    <r>
      <rPr>
        <vertAlign val="subscript"/>
        <sz val="10"/>
        <color rgb="FF000000"/>
        <rFont val="Consolas"/>
        <family val="3"/>
      </rPr>
      <t>0</t>
    </r>
    <r>
      <rPr>
        <sz val="10"/>
        <color rgb="FF000000"/>
        <rFont val="Consolas"/>
        <family val="3"/>
      </rPr>
      <t xml:space="preserve"> =</t>
    </r>
  </si>
  <si>
    <t>Cantilever shell force at tensile ULS:</t>
  </si>
  <si>
    <r>
      <t>Z</t>
    </r>
    <r>
      <rPr>
        <vertAlign val="subscript"/>
        <sz val="10"/>
        <color rgb="FF000000"/>
        <rFont val="Consolas"/>
        <family val="3"/>
      </rPr>
      <t>2,tilde</t>
    </r>
    <r>
      <rPr>
        <sz val="10"/>
        <color rgb="FF000000"/>
        <rFont val="Consolas"/>
        <family val="3"/>
      </rPr>
      <t xml:space="preserve"> =</t>
    </r>
  </si>
  <si>
    <t>Bolt bending stiffness:</t>
  </si>
  <si>
    <t>kN·m/rad</t>
  </si>
  <si>
    <t>Gap stiffness:</t>
  </si>
  <si>
    <r>
      <t>k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</si>
  <si>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t>kN/mm/m</t>
  </si>
  <si>
    <t>Shell force at closed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</si>
  <si>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</si>
  <si>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Stiffness correction factor:</t>
  </si>
  <si>
    <r>
      <t>α</t>
    </r>
    <r>
      <rPr>
        <vertAlign val="subscript"/>
        <sz val="10"/>
        <color rgb="FF000000"/>
        <rFont val="Aptos Narrow"/>
        <family val="2"/>
      </rPr>
      <t>k</t>
    </r>
    <r>
      <rPr>
        <sz val="10"/>
        <color rgb="FF000000"/>
        <rFont val="Aptos Narrow"/>
        <family val="2"/>
      </rPr>
      <t xml:space="preserve"> =</t>
    </r>
  </si>
  <si>
    <t>-</t>
  </si>
  <si>
    <t>Fs polynomial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</si>
  <si>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ini,mod</t>
    </r>
    <r>
      <rPr>
        <sz val="10"/>
        <color rgb="FF000000"/>
        <rFont val="Consolas"/>
        <family val="3"/>
      </rPr>
      <t xml:space="preserve"> =</t>
    </r>
  </si>
  <si>
    <t>Fs polynomial true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</si>
  <si>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ini,true</t>
    </r>
    <r>
      <rPr>
        <sz val="10"/>
        <color rgb="FF000000"/>
        <rFont val="Consolas"/>
        <family val="3"/>
      </rPr>
      <t xml:space="preserve"> =</t>
    </r>
  </si>
  <si>
    <t>Ms polynomial true initial slope:</t>
  </si>
  <si>
    <r>
      <t>χ</t>
    </r>
    <r>
      <rPr>
        <vertAlign val="subscript"/>
        <sz val="10"/>
        <color rgb="FF000000"/>
        <rFont val="Consolas"/>
        <family val="3"/>
      </rPr>
      <t>ini,true,M</t>
    </r>
    <r>
      <rPr>
        <sz val="10"/>
        <color rgb="FF000000"/>
        <rFont val="Consolas"/>
        <family val="3"/>
      </rPr>
      <t xml:space="preserve"> =</t>
    </r>
  </si>
  <si>
    <t>D</t>
  </si>
  <si>
    <r>
      <t>c</t>
    </r>
    <r>
      <rPr>
        <b/>
        <vertAlign val="subscript"/>
        <sz val="10"/>
        <color rgb="FFFFFFFF"/>
        <rFont val="Arial"/>
        <family val="2"/>
      </rPr>
      <t>0</t>
    </r>
  </si>
  <si>
    <t>MPa</t>
  </si>
  <si>
    <t>Date:</t>
  </si>
  <si>
    <t>Revision:</t>
  </si>
  <si>
    <t>Subject:</t>
  </si>
  <si>
    <t>Project name:</t>
  </si>
  <si>
    <t>Client:</t>
  </si>
  <si>
    <t>Project number:</t>
  </si>
  <si>
    <t>SP2200052</t>
  </si>
  <si>
    <t>Bolt and Beautiful</t>
  </si>
  <si>
    <t>Stichting GROW</t>
  </si>
  <si>
    <t>Flange Parameters</t>
  </si>
  <si>
    <t>Bolt parameters</t>
  </si>
  <si>
    <t>Gap parameters</t>
  </si>
  <si>
    <t>Bolt nominal diameter:</t>
  </si>
  <si>
    <t>Bolt shank diameter:</t>
  </si>
  <si>
    <t>Bolt shank length:</t>
  </si>
  <si>
    <r>
      <t>D</t>
    </r>
    <r>
      <rPr>
        <vertAlign val="subscript"/>
        <sz val="10"/>
        <color rgb="FF000000"/>
        <rFont val="Consolas"/>
        <family val="3"/>
      </rPr>
      <t>n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</si>
  <si>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</si>
  <si>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r>
      <t>L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</si>
  <si>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t>Bolt material yield stress:</t>
  </si>
  <si>
    <t>Bolt material ultimate tensile stress:</t>
  </si>
  <si>
    <r>
      <t>f</t>
    </r>
    <r>
      <rPr>
        <vertAlign val="subscript"/>
        <sz val="10"/>
        <color rgb="FF000000"/>
        <rFont val="Consolas"/>
        <family val="3"/>
      </rPr>
      <t>y</t>
    </r>
    <r>
      <rPr>
        <sz val="10"/>
        <color rgb="FF000000"/>
        <rFont val="Consolas"/>
        <family val="3"/>
      </rPr>
      <t xml:space="preserve"> =</t>
    </r>
  </si>
  <si>
    <r>
      <t>f</t>
    </r>
    <r>
      <rPr>
        <vertAlign val="subscript"/>
        <sz val="10"/>
        <color rgb="FF000000"/>
        <rFont val="Consolas"/>
        <family val="3"/>
      </rPr>
      <t>u</t>
    </r>
    <r>
      <rPr>
        <sz val="10"/>
        <color rgb="FF000000"/>
        <rFont val="Consolas"/>
        <family val="3"/>
      </rPr>
      <t xml:space="preserve"> =</t>
    </r>
  </si>
  <si>
    <t>Bolt modulus of elasticity:</t>
  </si>
  <si>
    <t>Z [kN]:</t>
  </si>
  <si>
    <t>Fs [kN}:</t>
  </si>
  <si>
    <t>[Nm]</t>
  </si>
  <si>
    <r>
      <t>M</t>
    </r>
    <r>
      <rPr>
        <vertAlign val="subscript"/>
        <sz val="10"/>
        <color theme="1"/>
        <rFont val="Arial"/>
        <family val="2"/>
      </rPr>
      <t>S,min</t>
    </r>
  </si>
  <si>
    <t>[-]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</si>
  <si>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</t>
    </r>
  </si>
  <si>
    <r>
      <t>M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1"/>
        <charset val="2"/>
      </rPr>
      <t>(Z)</t>
    </r>
  </si>
  <si>
    <t>[mm]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</si>
  <si>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ini,mod</t>
    </r>
  </si>
  <si>
    <t>[kN]</t>
  </si>
  <si>
    <r>
      <t>F</t>
    </r>
    <r>
      <rPr>
        <vertAlign val="subscript"/>
        <sz val="10"/>
        <color theme="1"/>
        <rFont val="Arial"/>
        <family val="2"/>
      </rPr>
      <t>S,min</t>
    </r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</si>
  <si>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ini,true</t>
    </r>
  </si>
  <si>
    <r>
      <t>Z</t>
    </r>
    <r>
      <rPr>
        <vertAlign val="subscript"/>
        <sz val="10"/>
        <color theme="1"/>
        <rFont val="Arial"/>
        <family val="2"/>
      </rPr>
      <t>close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</si>
  <si>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</si>
  <si>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t>G</t>
    </r>
    <r>
      <rPr>
        <vertAlign val="subscript"/>
        <sz val="10"/>
        <color theme="1"/>
        <rFont val="Arial"/>
        <family val="2"/>
      </rPr>
      <t>twr</t>
    </r>
    <r>
      <rPr>
        <sz val="10"/>
        <color theme="1"/>
        <rFont val="Arial"/>
        <family val="2"/>
      </rPr>
      <t>+G</t>
    </r>
    <r>
      <rPr>
        <vertAlign val="subscript"/>
        <sz val="10"/>
        <color theme="1"/>
        <rFont val="Arial"/>
        <family val="2"/>
      </rPr>
      <t>RNA</t>
    </r>
  </si>
  <si>
    <r>
      <t>Z</t>
    </r>
    <r>
      <rPr>
        <vertAlign val="sub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~</t>
    </r>
  </si>
  <si>
    <t>[N/mm/mm]</t>
  </si>
  <si>
    <r>
      <t>k</t>
    </r>
    <r>
      <rPr>
        <vertAlign val="subscript"/>
        <sz val="10"/>
        <color theme="1"/>
        <rFont val="Arial"/>
        <family val="2"/>
      </rPr>
      <t>seg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</si>
  <si>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k</t>
    </r>
  </si>
  <si>
    <r>
      <t>Z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</si>
  <si>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S,0</t>
    </r>
    <r>
      <rPr>
        <sz val="10"/>
        <color theme="1"/>
        <rFont val="Arial"/>
        <family val="2"/>
      </rPr>
      <t>=F</t>
    </r>
    <r>
      <rPr>
        <vertAlign val="subscript"/>
        <sz val="10"/>
        <color theme="1"/>
        <rFont val="Arial"/>
        <family val="2"/>
      </rPr>
      <t>S,2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</si>
  <si>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</si>
  <si>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gap,inclination</t>
    </r>
  </si>
  <si>
    <r>
      <t>F</t>
    </r>
    <r>
      <rPr>
        <vertAlign val="subscript"/>
        <sz val="10"/>
        <color theme="1"/>
        <rFont val="Arial"/>
        <family val="2"/>
      </rPr>
      <t>V,c</t>
    </r>
  </si>
  <si>
    <r>
      <t>I</t>
    </r>
    <r>
      <rPr>
        <vertAlign val="subscript"/>
        <sz val="10"/>
        <color theme="1"/>
        <rFont val="Arial"/>
        <family val="2"/>
      </rPr>
      <t>tg</t>
    </r>
  </si>
  <si>
    <t>[mm²]</t>
  </si>
  <si>
    <r>
      <t>A</t>
    </r>
    <r>
      <rPr>
        <vertAlign val="subscript"/>
        <sz val="10"/>
        <color theme="1"/>
        <rFont val="Arial"/>
        <family val="2"/>
      </rPr>
      <t>tg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</si>
  <si>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gap,c</t>
    </r>
  </si>
  <si>
    <r>
      <t>k</t>
    </r>
    <r>
      <rPr>
        <vertAlign val="subscript"/>
        <sz val="10"/>
        <color theme="1"/>
        <rFont val="Arial"/>
        <family val="2"/>
      </rPr>
      <t>fl</t>
    </r>
  </si>
  <si>
    <r>
      <t>I</t>
    </r>
    <r>
      <rPr>
        <vertAlign val="subscript"/>
        <sz val="10"/>
        <color theme="1"/>
        <rFont val="Arial"/>
        <family val="2"/>
      </rPr>
      <t>cf</t>
    </r>
  </si>
  <si>
    <r>
      <t>A</t>
    </r>
    <r>
      <rPr>
        <vertAlign val="subscript"/>
        <sz val="10"/>
        <color theme="1"/>
        <rFont val="Arial"/>
        <family val="2"/>
      </rPr>
      <t>cf</t>
    </r>
  </si>
  <si>
    <r>
      <t>k</t>
    </r>
    <r>
      <rPr>
        <vertAlign val="subscript"/>
        <sz val="10"/>
        <color theme="1"/>
        <rFont val="Arial"/>
        <family val="2"/>
      </rPr>
      <t>fac</t>
    </r>
  </si>
  <si>
    <t>Value used</t>
  </si>
  <si>
    <r>
      <t>k</t>
    </r>
    <r>
      <rPr>
        <vertAlign val="subscript"/>
        <sz val="10"/>
        <color theme="1"/>
        <rFont val="Arial"/>
        <family val="2"/>
      </rPr>
      <t>shell,ini</t>
    </r>
  </si>
  <si>
    <t>Simplified formula</t>
  </si>
  <si>
    <t>Interpolated value</t>
  </si>
  <si>
    <r>
      <t>k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</si>
  <si>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</t>
    </r>
  </si>
  <si>
    <t>Summarized formula for bolt force curve</t>
  </si>
  <si>
    <r>
      <t>F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2"/>
      </rPr>
      <t>(Z)</t>
    </r>
  </si>
  <si>
    <r>
      <t>F</t>
    </r>
    <r>
      <rPr>
        <vertAlign val="subscript"/>
        <sz val="10"/>
        <color theme="1"/>
        <rFont val="Arial"/>
        <family val="2"/>
      </rPr>
      <t>U,A</t>
    </r>
  </si>
  <si>
    <r>
      <t>F</t>
    </r>
    <r>
      <rPr>
        <vertAlign val="subscript"/>
        <sz val="10"/>
        <color theme="1"/>
        <rFont val="Arial"/>
        <family val="2"/>
      </rPr>
      <t>U,B</t>
    </r>
  </si>
  <si>
    <t>Stress range formula</t>
  </si>
  <si>
    <t>Ds</t>
  </si>
  <si>
    <t>Gap shape formula</t>
  </si>
  <si>
    <t>k(l)</t>
  </si>
  <si>
    <t>Gap value used for calculation</t>
  </si>
  <si>
    <r>
      <t>k</t>
    </r>
    <r>
      <rPr>
        <vertAlign val="subscript"/>
        <sz val="10"/>
        <color theme="1"/>
        <rFont val="Arial"/>
        <family val="2"/>
      </rPr>
      <t>used</t>
    </r>
  </si>
  <si>
    <r>
      <t>k</t>
    </r>
    <r>
      <rPr>
        <vertAlign val="subscript"/>
        <sz val="10"/>
        <color theme="1"/>
        <rFont val="Arial"/>
        <family val="2"/>
      </rPr>
      <t>design</t>
    </r>
  </si>
  <si>
    <r>
      <t>p</t>
    </r>
    <r>
      <rPr>
        <vertAlign val="subscript"/>
        <sz val="10"/>
        <color theme="1"/>
        <rFont val="Arial"/>
        <family val="2"/>
      </rPr>
      <t>95</t>
    </r>
  </si>
  <si>
    <r>
      <rPr>
        <sz val="10"/>
        <color theme="1"/>
        <rFont val="Symbol"/>
        <family val="1"/>
        <charset val="2"/>
      </rPr>
      <t>m</t>
    </r>
    <r>
      <rPr>
        <vertAlign val="subscript"/>
        <sz val="10"/>
        <color theme="1"/>
        <rFont val="Arial"/>
        <family val="2"/>
      </rPr>
      <t>k</t>
    </r>
  </si>
  <si>
    <r>
      <rPr>
        <sz val="10"/>
        <color theme="1"/>
        <rFont val="Symbol"/>
        <family val="1"/>
        <charset val="2"/>
      </rPr>
      <t>s</t>
    </r>
    <r>
      <rPr>
        <vertAlign val="subscript"/>
        <sz val="10"/>
        <color theme="1"/>
        <rFont val="Arial"/>
        <family val="2"/>
      </rPr>
      <t>k</t>
    </r>
  </si>
  <si>
    <r>
      <t>u</t>
    </r>
    <r>
      <rPr>
        <vertAlign val="subscript"/>
        <sz val="10"/>
        <color theme="1"/>
        <rFont val="Arial"/>
        <family val="2"/>
      </rPr>
      <t>tol,360°</t>
    </r>
  </si>
  <si>
    <r>
      <t>u</t>
    </r>
    <r>
      <rPr>
        <vertAlign val="subscript"/>
        <sz val="10"/>
        <color theme="1"/>
        <rFont val="Arial"/>
        <family val="2"/>
      </rPr>
      <t>tol,30°</t>
    </r>
  </si>
  <si>
    <t>[m]</t>
  </si>
  <si>
    <r>
      <t>L</t>
    </r>
    <r>
      <rPr>
        <vertAlign val="subscript"/>
        <sz val="10"/>
        <color theme="1"/>
        <rFont val="Arial"/>
        <family val="2"/>
      </rPr>
      <t>30°</t>
    </r>
  </si>
  <si>
    <r>
      <t>COV</t>
    </r>
    <r>
      <rPr>
        <vertAlign val="subscript"/>
        <sz val="10"/>
        <color theme="1"/>
        <rFont val="Arial"/>
        <family val="2"/>
      </rPr>
      <t>k</t>
    </r>
  </si>
  <si>
    <r>
      <t>k</t>
    </r>
    <r>
      <rPr>
        <vertAlign val="subscript"/>
        <sz val="10"/>
        <color theme="1"/>
        <rFont val="Arial"/>
        <family val="2"/>
      </rPr>
      <t>mean</t>
    </r>
  </si>
  <si>
    <t>[mm/m]</t>
  </si>
  <si>
    <r>
      <t>u</t>
    </r>
    <r>
      <rPr>
        <vertAlign val="subscript"/>
        <sz val="10"/>
        <color theme="1"/>
        <rFont val="Arial"/>
        <family val="2"/>
      </rPr>
      <t>tol,1m</t>
    </r>
  </si>
  <si>
    <r>
      <t>L</t>
    </r>
    <r>
      <rPr>
        <vertAlign val="subscript"/>
        <sz val="10"/>
        <color theme="1"/>
        <rFont val="Arial"/>
        <family val="2"/>
      </rPr>
      <t>Gap</t>
    </r>
  </si>
  <si>
    <t>[deg]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</si>
  <si>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Gap</t>
    </r>
  </si>
  <si>
    <r>
      <t>F</t>
    </r>
    <r>
      <rPr>
        <vertAlign val="subscript"/>
        <sz val="10"/>
        <color theme="1"/>
        <rFont val="Arial"/>
        <family val="2"/>
      </rPr>
      <t>U,D</t>
    </r>
    <r>
      <rPr>
        <sz val="10"/>
        <color theme="1"/>
        <rFont val="Arial"/>
        <family val="2"/>
      </rPr>
      <t>/Z</t>
    </r>
    <r>
      <rPr>
        <vertAlign val="subscript"/>
        <sz val="10"/>
        <color theme="1"/>
        <rFont val="Arial"/>
        <family val="2"/>
      </rPr>
      <t>loss</t>
    </r>
  </si>
  <si>
    <r>
      <t>Z</t>
    </r>
    <r>
      <rPr>
        <vertAlign val="subscript"/>
        <sz val="10"/>
        <color theme="1"/>
        <rFont val="Arial"/>
        <family val="2"/>
      </rPr>
      <t>loss</t>
    </r>
  </si>
  <si>
    <t>[MNm]</t>
  </si>
  <si>
    <r>
      <t>M</t>
    </r>
    <r>
      <rPr>
        <vertAlign val="subscript"/>
        <sz val="10"/>
        <color theme="1"/>
        <rFont val="Arial"/>
        <family val="2"/>
      </rPr>
      <t>min,FLS</t>
    </r>
  </si>
  <si>
    <r>
      <t>M</t>
    </r>
    <r>
      <rPr>
        <vertAlign val="subscript"/>
        <sz val="10"/>
        <color theme="1"/>
        <rFont val="Arial"/>
        <family val="2"/>
      </rPr>
      <t>max,FLS</t>
    </r>
  </si>
  <si>
    <t>Note: S1 loads not included here, only FLS loads</t>
  </si>
  <si>
    <r>
      <t>M</t>
    </r>
    <r>
      <rPr>
        <vertAlign val="subscript"/>
        <sz val="10"/>
        <color theme="1"/>
        <rFont val="Arial"/>
        <family val="2"/>
      </rPr>
      <t>loss</t>
    </r>
  </si>
  <si>
    <r>
      <t>F</t>
    </r>
    <r>
      <rPr>
        <vertAlign val="subscript"/>
        <sz val="10"/>
        <color theme="1"/>
        <rFont val="Arial"/>
        <family val="2"/>
      </rPr>
      <t>S,loss</t>
    </r>
  </si>
  <si>
    <t>Including 50% reduction where re-tightening is assumed</t>
  </si>
  <si>
    <r>
      <t>f</t>
    </r>
    <r>
      <rPr>
        <vertAlign val="subscript"/>
        <sz val="10"/>
        <color theme="1"/>
        <rFont val="Arial"/>
        <family val="2"/>
      </rPr>
      <t>Z,tot</t>
    </r>
  </si>
  <si>
    <r>
      <t>DFT</t>
    </r>
    <r>
      <rPr>
        <vertAlign val="subscript"/>
        <sz val="10"/>
        <color theme="1"/>
        <rFont val="Arial"/>
        <family val="2"/>
      </rPr>
      <t>sbw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</si>
  <si>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Z</t>
    </r>
  </si>
  <si>
    <t>p</t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</si>
  <si>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P</t>
    </r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</si>
  <si>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S</t>
    </r>
  </si>
  <si>
    <t>Limit value for HV bolts</t>
  </si>
  <si>
    <r>
      <t>F</t>
    </r>
    <r>
      <rPr>
        <vertAlign val="subscript"/>
        <sz val="10"/>
        <color theme="1"/>
        <rFont val="Arial"/>
        <family val="2"/>
      </rPr>
      <t>p,C</t>
    </r>
    <r>
      <rPr>
        <sz val="10"/>
        <color theme="1"/>
        <rFont val="Arial"/>
        <family val="2"/>
      </rPr>
      <t>'</t>
    </r>
  </si>
  <si>
    <t>Design preload averaged over 5 bolts</t>
  </si>
  <si>
    <r>
      <t>F</t>
    </r>
    <r>
      <rPr>
        <vertAlign val="subscript"/>
        <sz val="10"/>
        <color theme="1"/>
        <rFont val="Arial"/>
        <family val="2"/>
      </rPr>
      <t>p,mean</t>
    </r>
  </si>
  <si>
    <r>
      <t>COV</t>
    </r>
    <r>
      <rPr>
        <vertAlign val="subscript"/>
        <sz val="10"/>
        <color theme="1"/>
        <rFont val="Arial"/>
        <family val="2"/>
      </rPr>
      <t>p</t>
    </r>
  </si>
  <si>
    <r>
      <t>F</t>
    </r>
    <r>
      <rPr>
        <vertAlign val="subscript"/>
        <sz val="10"/>
        <color theme="1"/>
        <rFont val="Arial"/>
        <family val="2"/>
      </rPr>
      <t>p,inst.,mean</t>
    </r>
  </si>
  <si>
    <t>Design value of preload, simplified formula</t>
  </si>
  <si>
    <r>
      <t>A</t>
    </r>
    <r>
      <rPr>
        <vertAlign val="subscript"/>
        <sz val="10"/>
        <color theme="1"/>
        <rFont val="Arial"/>
        <family val="2"/>
      </rPr>
      <t>S</t>
    </r>
  </si>
  <si>
    <t>Nominal yield strength (0.2% strain limit) for 10.9 bolts</t>
  </si>
  <si>
    <t>[MPa]</t>
  </si>
  <si>
    <r>
      <t>f</t>
    </r>
    <r>
      <rPr>
        <vertAlign val="subscript"/>
        <sz val="10"/>
        <color theme="1"/>
        <rFont val="Arial"/>
        <family val="2"/>
      </rPr>
      <t>y,b</t>
    </r>
  </si>
  <si>
    <t>Simplified formula used, therefore not used directly (but reported here for info)</t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</si>
  <si>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pl</t>
    </r>
  </si>
  <si>
    <t>Simplified formula used, therefore not evaluated</t>
  </si>
  <si>
    <t>Comment</t>
  </si>
  <si>
    <t>Unit</t>
  </si>
  <si>
    <t>Symbol</t>
  </si>
  <si>
    <t>Equation</t>
  </si>
  <si>
    <t>Collection of all (intermediate) values as calculated according to IEC 61400-6 AMD1:2024</t>
  </si>
  <si>
    <t>°</t>
  </si>
  <si>
    <t>SGRE Value</t>
  </si>
  <si>
    <t>KCI Value</t>
  </si>
  <si>
    <t>mm²</t>
  </si>
  <si>
    <r>
      <t>A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</si>
  <si>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t>Mismatch</t>
  </si>
  <si>
    <t>Bolt axial stiffness:</t>
  </si>
  <si>
    <t>kN/mm</t>
  </si>
  <si>
    <t>rad/(GN·m)</t>
  </si>
  <si>
    <t>mm/kN</t>
  </si>
  <si>
    <t>Clamped parts stiffness:</t>
  </si>
  <si>
    <t>SK</t>
  </si>
  <si>
    <t>Gew</t>
  </si>
  <si>
    <t>G</t>
  </si>
  <si>
    <t>M</t>
  </si>
  <si>
    <t>Tot</t>
  </si>
  <si>
    <r>
      <t>β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</si>
  <si>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r>
      <t>δ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</si>
  <si>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t>i =</t>
  </si>
  <si>
    <r>
      <t>C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</si>
  <si>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D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</si>
  <si>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Ms</t>
    </r>
    <r>
      <rPr>
        <sz val="10"/>
        <color rgb="FF000000"/>
        <rFont val="Consolas"/>
        <family val="3"/>
      </rPr>
      <t xml:space="preserve"> =</t>
    </r>
  </si>
  <si>
    <t>Gap angle:</t>
  </si>
  <si>
    <r>
      <t>α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</si>
  <si>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Miscellaneous</t>
  </si>
  <si>
    <t>Gap Stiffness</t>
  </si>
  <si>
    <t>Initial shell stiffness factor:</t>
  </si>
  <si>
    <r>
      <t>k</t>
    </r>
    <r>
      <rPr>
        <vertAlign val="subscript"/>
        <sz val="10"/>
        <color rgb="FF000000"/>
        <rFont val="Consolas"/>
        <family val="3"/>
      </rPr>
      <t>fac</t>
    </r>
    <r>
      <rPr>
        <sz val="10"/>
        <color rgb="FF000000"/>
        <rFont val="Consolas"/>
        <family val="3"/>
      </rPr>
      <t xml:space="preserve"> =</t>
    </r>
  </si>
  <si>
    <t>Initial shell stiffness:</t>
  </si>
  <si>
    <r>
      <t>k</t>
    </r>
    <r>
      <rPr>
        <vertAlign val="subscript"/>
        <sz val="10"/>
        <color rgb="FF000000"/>
        <rFont val="Consolas"/>
        <family val="3"/>
      </rPr>
      <t>shell,ini</t>
    </r>
    <r>
      <rPr>
        <sz val="10"/>
        <color rgb="FF000000"/>
        <rFont val="Consolas"/>
        <family val="3"/>
      </rPr>
      <t xml:space="preserve"> =</t>
    </r>
  </si>
  <si>
    <t>Flange stiffness:</t>
  </si>
  <si>
    <r>
      <t>k</t>
    </r>
    <r>
      <rPr>
        <vertAlign val="subscript"/>
        <sz val="10"/>
        <color rgb="FF000000"/>
        <rFont val="Consolas"/>
        <family val="3"/>
      </rPr>
      <t>fl</t>
    </r>
    <r>
      <rPr>
        <sz val="10"/>
        <color rgb="FF000000"/>
        <rFont val="Consolas"/>
        <family val="3"/>
      </rPr>
      <t xml:space="preserve"> =</t>
    </r>
  </si>
  <si>
    <t>Segment stiffness:</t>
  </si>
  <si>
    <r>
      <t>k</t>
    </r>
    <r>
      <rPr>
        <vertAlign val="subscript"/>
        <sz val="10"/>
        <color rgb="FF000000"/>
        <rFont val="Consolas"/>
        <family val="3"/>
      </rPr>
      <t>seg</t>
    </r>
    <r>
      <rPr>
        <sz val="10"/>
        <color rgb="FF000000"/>
        <rFont val="Consolas"/>
        <family val="3"/>
      </rPr>
      <t xml:space="preserve"> =</t>
    </r>
  </si>
  <si>
    <t>Stiffness correction factor</t>
  </si>
  <si>
    <t>Displacement in the ultimate prying state:</t>
  </si>
  <si>
    <t>u =</t>
  </si>
  <si>
    <r>
      <t>Determination of ULS point P</t>
    </r>
    <r>
      <rPr>
        <b/>
        <i/>
        <vertAlign val="subscript"/>
        <sz val="10"/>
        <color rgb="FF0095D3"/>
        <rFont val="Arial"/>
        <family val="2"/>
      </rPr>
      <t>2</t>
    </r>
  </si>
  <si>
    <t>Model Internal Parameters</t>
  </si>
  <si>
    <r>
      <t>Determination of small displacements point P</t>
    </r>
    <r>
      <rPr>
        <b/>
        <i/>
        <vertAlign val="subscript"/>
        <sz val="10"/>
        <color rgb="FF0095D3"/>
        <rFont val="Arial"/>
        <family val="2"/>
      </rPr>
      <t>3</t>
    </r>
  </si>
  <si>
    <t>Bolt</t>
  </si>
  <si>
    <t>Gap height probability distribution</t>
  </si>
  <si>
    <t>Mean gap height:</t>
  </si>
  <si>
    <r>
      <t>k</t>
    </r>
    <r>
      <rPr>
        <vertAlign val="subscript"/>
        <sz val="10"/>
        <color rgb="FF000000"/>
        <rFont val="Consolas"/>
        <family val="3"/>
      </rPr>
      <t>mean</t>
    </r>
    <r>
      <rPr>
        <sz val="10"/>
        <color rgb="FF000000"/>
        <rFont val="Consolas"/>
        <family val="3"/>
      </rPr>
      <t xml:space="preserve"> =</t>
    </r>
  </si>
  <si>
    <t>Coefficient of variation:</t>
  </si>
  <si>
    <r>
      <t>COV</t>
    </r>
    <r>
      <rPr>
        <vertAlign val="subscript"/>
        <sz val="10"/>
        <color rgb="FF000000"/>
        <rFont val="Consolas"/>
        <family val="3"/>
      </rPr>
      <t>k</t>
    </r>
    <r>
      <rPr>
        <sz val="10"/>
        <color rgb="FF000000"/>
        <rFont val="Consolas"/>
        <family val="3"/>
      </rPr>
      <t xml:space="preserve"> =</t>
    </r>
  </si>
  <si>
    <t>Local flatness tolerance of the flange:</t>
  </si>
  <si>
    <r>
      <t>u</t>
    </r>
    <r>
      <rPr>
        <vertAlign val="subscript"/>
        <sz val="10"/>
        <color rgb="FF000000"/>
        <rFont val="Consolas"/>
        <family val="3"/>
      </rPr>
      <t>tol,1m</t>
    </r>
    <r>
      <rPr>
        <sz val="10"/>
        <color rgb="FF000000"/>
        <rFont val="Consolas"/>
        <family val="3"/>
      </rPr>
      <t xml:space="preserve"> =</t>
    </r>
  </si>
  <si>
    <t>mm/m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</si>
  <si>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S,T,high(Z)</t>
    </r>
  </si>
  <si>
    <t>Intermediate values as function of Z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</si>
  <si>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S,T,low(Z)</t>
    </r>
  </si>
  <si>
    <t>Bending moment for T-Flange as a function of external force Z</t>
  </si>
  <si>
    <t>[1/Nmm]</t>
  </si>
  <si>
    <r>
      <rPr>
        <sz val="10"/>
        <color theme="1"/>
        <rFont val="Symbol"/>
        <family val="1"/>
        <charset val="2"/>
      </rPr>
      <t>b</t>
    </r>
    <r>
      <rPr>
        <vertAlign val="subscript"/>
        <sz val="10"/>
        <color theme="1"/>
        <rFont val="Arial"/>
        <family val="2"/>
      </rPr>
      <t>S</t>
    </r>
  </si>
  <si>
    <t>Bending resilience of bolt assembly</t>
  </si>
  <si>
    <t>Bending moment L-Flange as a function of external force Z</t>
  </si>
  <si>
    <t>c</t>
  </si>
  <si>
    <r>
      <t>[mm</t>
    </r>
    <r>
      <rPr>
        <vertAlign val="superscript"/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>]</t>
    </r>
  </si>
  <si>
    <r>
      <t>[</t>
    </r>
    <r>
      <rPr>
        <sz val="10"/>
        <color theme="1"/>
        <rFont val="Symbol"/>
        <family val="1"/>
        <charset val="2"/>
      </rPr>
      <t>m</t>
    </r>
    <r>
      <rPr>
        <sz val="10"/>
        <color theme="1"/>
        <rFont val="Arial"/>
        <family val="2"/>
      </rPr>
      <t>m]</t>
    </r>
  </si>
  <si>
    <t>[m/N]</t>
  </si>
  <si>
    <r>
      <t>F</t>
    </r>
    <r>
      <rPr>
        <i/>
        <vertAlign val="subscript"/>
        <sz val="10"/>
        <color theme="1"/>
        <rFont val="Arial"/>
        <family val="2"/>
      </rPr>
      <t>p,C</t>
    </r>
    <r>
      <rPr>
        <i/>
        <sz val="10"/>
        <color theme="1"/>
        <rFont val="Arial"/>
        <family val="2"/>
      </rPr>
      <t>'</t>
    </r>
  </si>
  <si>
    <t>120°</t>
  </si>
  <si>
    <t>90°</t>
  </si>
  <si>
    <t>60°</t>
  </si>
  <si>
    <t>30°</t>
  </si>
  <si>
    <t>Geometry:</t>
  </si>
  <si>
    <t>Design cases</t>
  </si>
  <si>
    <t>Bolt stress area:</t>
  </si>
  <si>
    <t>Flange cross-section area in circumferential direction:</t>
  </si>
  <si>
    <r>
      <t>A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</si>
  <si>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t>Flange moment of inertia in circumferential direction:</t>
  </si>
  <si>
    <r>
      <t>I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</si>
  <si>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r>
      <t>mm</t>
    </r>
    <r>
      <rPr>
        <vertAlign val="superscript"/>
        <sz val="10"/>
        <color rgb="FF000000"/>
        <rFont val="Consolas"/>
        <family val="3"/>
      </rPr>
      <t>4</t>
    </r>
  </si>
  <si>
    <t>Compare Gap Angle</t>
  </si>
  <si>
    <t>Shell outer radius of curvature:</t>
  </si>
  <si>
    <t>a* =</t>
  </si>
  <si>
    <t>Empirical prying distance:</t>
  </si>
  <si>
    <t>Shell second moment of area:</t>
  </si>
  <si>
    <r>
      <t>I</t>
    </r>
    <r>
      <rPr>
        <vertAlign val="subscript"/>
        <sz val="10"/>
        <color rgb="FF000000"/>
        <rFont val="Consolas"/>
        <family val="3"/>
      </rPr>
      <t>tg</t>
    </r>
    <r>
      <rPr>
        <sz val="10"/>
        <color rgb="FF000000"/>
        <rFont val="Consolas"/>
        <family val="3"/>
      </rPr>
      <t xml:space="preserve"> =</t>
    </r>
  </si>
  <si>
    <t>Central angle of the flange segment:</t>
  </si>
  <si>
    <t>α =</t>
  </si>
  <si>
    <t>X1 =</t>
  </si>
  <si>
    <t>c2 =</t>
  </si>
  <si>
    <t>c1 =</t>
  </si>
  <si>
    <t>c0 =</t>
  </si>
  <si>
    <t>Ms,min =</t>
  </si>
  <si>
    <t>(valid in case T-Flange is calculated)</t>
  </si>
  <si>
    <t>(valid in case L-Flange is calculated)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</si>
  <si>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Symbol"/>
        <family val="1"/>
        <charset val="2"/>
      </rPr>
      <t>0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</si>
  <si>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1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</si>
  <si>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</si>
  <si>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</si>
  <si>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1</t>
    </r>
  </si>
  <si>
    <r>
      <t>D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</si>
  <si>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S,3</t>
    </r>
  </si>
  <si>
    <r>
      <t>Z</t>
    </r>
    <r>
      <rPr>
        <vertAlign val="subscript"/>
        <sz val="10"/>
        <color theme="1"/>
        <rFont val="Arial"/>
        <family val="2"/>
      </rPr>
      <t>3</t>
    </r>
  </si>
  <si>
    <r>
      <t>F</t>
    </r>
    <r>
      <rPr>
        <vertAlign val="subscript"/>
        <sz val="10"/>
        <color theme="1"/>
        <rFont val="Arial"/>
        <family val="2"/>
      </rPr>
      <t>S,2</t>
    </r>
  </si>
  <si>
    <r>
      <t>Z</t>
    </r>
    <r>
      <rPr>
        <vertAlign val="subscript"/>
        <sz val="10"/>
        <color theme="1"/>
        <rFont val="Arial"/>
        <family val="2"/>
      </rPr>
      <t>2</t>
    </r>
  </si>
  <si>
    <r>
      <t>F</t>
    </r>
    <r>
      <rPr>
        <vertAlign val="subscript"/>
        <sz val="10"/>
        <color theme="1"/>
        <rFont val="Arial"/>
        <family val="2"/>
      </rPr>
      <t>S,1</t>
    </r>
  </si>
  <si>
    <r>
      <t>Z</t>
    </r>
    <r>
      <rPr>
        <vertAlign val="subscript"/>
        <sz val="10"/>
        <color theme="1"/>
        <rFont val="Arial"/>
        <family val="2"/>
      </rPr>
      <t>1</t>
    </r>
  </si>
  <si>
    <t>Gap length measured on outside diameter</t>
  </si>
  <si>
    <t>Fs_coeff.tens</t>
  </si>
  <si>
    <t>Point 1: flange segment at rest</t>
  </si>
  <si>
    <t>Segment force without external load:</t>
  </si>
  <si>
    <r>
      <t>Tensile zone (Z &gt;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</si>
  <si>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r>
      <t>Flange Segment Analytical Model for 30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 and shape factor 1.2</t>
    </r>
  </si>
  <si>
    <t>E</t>
  </si>
  <si>
    <r>
      <t>Flange Segment Analytical Model for 60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 ans shape factor 1.2</t>
    </r>
  </si>
  <si>
    <t>F</t>
  </si>
  <si>
    <r>
      <t>Flange Segment Analytical Model for 90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 and shape factor 1.2</t>
    </r>
  </si>
  <si>
    <r>
      <t>Flange Segment Analytical Model for 120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 and shape factor 1.2</t>
    </r>
  </si>
  <si>
    <t>H</t>
  </si>
  <si>
    <t>`` bs</t>
  </si>
  <si>
    <t>Force necessary to neutralize the flange tilt: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</si>
  <si>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gap,inclination</t>
    </r>
    <r>
      <rPr>
        <sz val="10"/>
        <color rgb="FF000000"/>
        <rFont val="Consolas"/>
        <family val="3"/>
      </rPr>
      <t xml:space="preserve"> =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</si>
  <si>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  <r>
      <rPr>
        <sz val="10"/>
        <color theme="1"/>
        <rFont val="Arial"/>
        <family val="2"/>
      </rPr>
      <t>+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</si>
  <si>
    <r>
      <t>M</t>
    </r>
    <r>
      <rPr>
        <vertAlign val="subscript"/>
        <sz val="11"/>
        <color theme="1"/>
        <rFont val="Arial"/>
        <family val="2"/>
      </rPr>
      <t>s,T,low</t>
    </r>
  </si>
  <si>
    <r>
      <t>M</t>
    </r>
    <r>
      <rPr>
        <vertAlign val="subscript"/>
        <sz val="11"/>
        <color theme="1"/>
        <rFont val="Arial"/>
        <family val="2"/>
      </rPr>
      <t>s,T,high</t>
    </r>
  </si>
  <si>
    <r>
      <t>M</t>
    </r>
    <r>
      <rPr>
        <vertAlign val="subscript"/>
        <sz val="11"/>
        <color theme="1"/>
        <rFont val="Arial"/>
        <family val="2"/>
      </rPr>
      <t>s,T</t>
    </r>
  </si>
  <si>
    <r>
      <t>M</t>
    </r>
    <r>
      <rPr>
        <vertAlign val="subscript"/>
        <sz val="11"/>
        <color theme="1"/>
        <rFont val="Arial"/>
        <family val="2"/>
      </rPr>
      <t>1</t>
    </r>
  </si>
  <si>
    <r>
      <t>M</t>
    </r>
    <r>
      <rPr>
        <vertAlign val="subscript"/>
        <sz val="11"/>
        <color theme="1"/>
        <rFont val="Arial"/>
        <family val="2"/>
      </rPr>
      <t>2</t>
    </r>
  </si>
  <si>
    <r>
      <t>M</t>
    </r>
    <r>
      <rPr>
        <vertAlign val="subscript"/>
        <sz val="11"/>
        <color theme="1"/>
        <rFont val="Arial"/>
        <family val="2"/>
      </rPr>
      <t>3</t>
    </r>
  </si>
  <si>
    <r>
      <t>a</t>
    </r>
    <r>
      <rPr>
        <vertAlign val="subscript"/>
        <sz val="10"/>
        <color theme="1"/>
        <rFont val="Arial"/>
        <family val="2"/>
      </rPr>
      <t>2,M</t>
    </r>
  </si>
  <si>
    <r>
      <t>a</t>
    </r>
    <r>
      <rPr>
        <vertAlign val="subscript"/>
        <sz val="10"/>
        <color theme="1"/>
        <rFont val="Arial"/>
        <family val="2"/>
      </rPr>
      <t>1,M</t>
    </r>
  </si>
  <si>
    <r>
      <t>a</t>
    </r>
    <r>
      <rPr>
        <vertAlign val="subscript"/>
        <sz val="10"/>
        <color theme="1"/>
        <rFont val="Arial"/>
        <family val="2"/>
      </rPr>
      <t>0,M</t>
    </r>
  </si>
  <si>
    <r>
      <rPr>
        <sz val="10"/>
        <color theme="1"/>
        <rFont val="Arial"/>
        <family val="2"/>
      </rPr>
      <t xml:space="preserve">Value at 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</si>
  <si>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rPr>
        <sz val="10"/>
        <color theme="1"/>
        <rFont val="Arial"/>
        <family val="2"/>
      </rPr>
      <t xml:space="preserve">Value at 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  <r>
      <rPr>
        <sz val="10"/>
        <color theme="1"/>
        <rFont val="Arial"/>
        <family val="2"/>
      </rPr>
      <t>+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</si>
  <si>
    <t>Polynomial coefficients for bending moment</t>
  </si>
  <si>
    <t>Note that these don't provide an exact match to</t>
  </si>
  <si>
    <t>the interpolated values, but usually good enough</t>
  </si>
  <si>
    <t>Total force necessary to neutralize the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</si>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</sst>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0.0"/>
    <numFmt numFmtId="165" formatCode="0.0000"/>
    <numFmt numFmtId="166" formatCode="0.000"/>
    <numFmt numFmtId="167" formatCode="\(0\)"/>
    <numFmt numFmtId="168" formatCode="0.0%"/>
    <numFmt numFmtId="169" formatCode="0.0E+00"/>
    <numFmt numFmtId="170" formatCode="0.000E+00"/>
    <numFmt numFmtId="171" formatCode="0.0000000"/>
    <numFmt numFmtId="172" formatCode="0.000000"/>
    <numFmt numFmtId="173" formatCode="0.00000000000000000000"/>
  </numFmts>
  <fonts count="64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 tint="-0.499984740745262"/>
      <name val="Consolas"/>
      <family val="3"/>
    </font>
    <font>
      <sz val="10"/>
      <color theme="1"/>
      <name val="Consolas"/>
      <family val="3"/>
    </font>
    <font>
      <sz val="10"/>
      <color rgb="FF000000"/>
      <name val="Consolas"/>
      <family val="3"/>
    </font>
    <font>
      <b/>
      <sz val="10"/>
      <color rgb="FF000000"/>
      <name val="Consolas"/>
      <family val="3"/>
    </font>
    <font>
      <vertAlign val="subscript"/>
      <sz val="10"/>
      <color rgb="FF000000"/>
      <name val="Consolas"/>
      <family val="3"/>
    </font>
    <font>
      <sz val="10"/>
      <color rgb="FF000000"/>
      <name val="Arial"/>
      <family val="2"/>
    </font>
    <font>
      <sz val="10"/>
      <color rgb="FF0095D3"/>
      <name val="Arial"/>
      <family val="2"/>
    </font>
    <font>
      <b/>
      <i/>
      <sz val="10"/>
      <color rgb="FF0095D3"/>
      <name val="Arial"/>
      <family val="2"/>
    </font>
    <font>
      <b/>
      <sz val="12"/>
      <color rgb="FFFF0000"/>
      <name val="Consolas"/>
      <family val="3"/>
    </font>
    <font>
      <b/>
      <sz val="12"/>
      <color rgb="FF0095D3"/>
      <name val="Arial"/>
      <family val="2"/>
    </font>
    <font>
      <i/>
      <sz val="10"/>
      <color rgb="FF808080"/>
      <name val="Arial"/>
      <family val="2"/>
    </font>
    <font>
      <i/>
      <sz val="10"/>
      <color theme="1"/>
      <name val="Arial"/>
      <family val="2"/>
    </font>
    <font>
      <sz val="14"/>
      <color theme="0" tint="-0.499984740745262"/>
      <name val="Consolas"/>
      <family val="3"/>
    </font>
    <font>
      <b/>
      <sz val="14"/>
      <color rgb="FF0095D3"/>
      <name val="Arial"/>
      <family val="2"/>
    </font>
    <font>
      <b/>
      <sz val="10"/>
      <color rgb="FF0095D3"/>
      <name val="Consolas"/>
      <family val="3"/>
    </font>
    <font>
      <sz val="10"/>
      <color rgb="FF0095D3"/>
      <name val="Consolas"/>
      <family val="3"/>
    </font>
    <font>
      <b/>
      <sz val="12"/>
      <color rgb="FF0095D3"/>
      <name val="Consolas"/>
      <family val="3"/>
    </font>
    <font>
      <sz val="8"/>
      <color theme="0" tint="-0.499984740745262"/>
      <name val="Consolas"/>
      <family val="3"/>
    </font>
    <font>
      <b/>
      <sz val="8"/>
      <color rgb="FF0095D3"/>
      <name val="Consolas"/>
      <family val="3"/>
    </font>
    <font>
      <sz val="8"/>
      <color rgb="FF0095D3"/>
      <name val="Consolas"/>
      <family val="3"/>
    </font>
    <font>
      <b/>
      <sz val="8"/>
      <color rgb="FF808080"/>
      <name val="Consolas"/>
      <family val="3"/>
    </font>
    <font>
      <b/>
      <i/>
      <sz val="8"/>
      <color rgb="FF808080"/>
      <name val="Consolas"/>
      <family val="3"/>
    </font>
    <font>
      <sz val="8"/>
      <color rgb="FF808080"/>
      <name val="Consolas"/>
      <family val="3"/>
    </font>
    <font>
      <b/>
      <sz val="14"/>
      <color rgb="FF0095D3"/>
      <name val="Aptos Narrow"/>
      <family val="2"/>
    </font>
    <font>
      <b/>
      <vertAlign val="subscript"/>
      <sz val="12"/>
      <color rgb="FF0095D3"/>
      <name val="Arial"/>
      <family val="2"/>
    </font>
    <font>
      <b/>
      <sz val="10"/>
      <color rgb="FFFFFFFF"/>
      <name val="Arial"/>
      <family val="2"/>
    </font>
    <font>
      <vertAlign val="subscript"/>
      <sz val="10"/>
      <color rgb="FF000000"/>
      <name val="Arial"/>
      <family val="2"/>
    </font>
    <font>
      <b/>
      <vertAlign val="subscript"/>
      <sz val="10"/>
      <color rgb="FFFFFFFF"/>
      <name val="Arial"/>
      <family val="2"/>
    </font>
    <font>
      <sz val="10"/>
      <color rgb="FF000000"/>
      <name val="Aptos Narrow"/>
      <family val="2"/>
    </font>
    <font>
      <sz val="10"/>
      <color rgb="FF000000"/>
      <name val="Consolas"/>
      <family val="2"/>
    </font>
    <font>
      <vertAlign val="subscript"/>
      <sz val="10"/>
      <color rgb="FF000000"/>
      <name val="Aptos Narrow"/>
      <family val="2"/>
    </font>
    <font>
      <b/>
      <sz val="10"/>
      <color rgb="FF000000"/>
      <name val="Arial"/>
      <family val="2"/>
    </font>
    <font>
      <sz val="10"/>
      <color rgb="FF808080"/>
      <name val="Consolas"/>
      <family val="3"/>
    </font>
    <font>
      <b/>
      <sz val="10"/>
      <color rgb="FF808080"/>
      <name val="Arial"/>
      <family val="2"/>
    </font>
    <font>
      <sz val="10"/>
      <color rgb="FF808080"/>
      <name val="Arial"/>
      <family val="2"/>
    </font>
    <font>
      <b/>
      <sz val="10"/>
      <color rgb="FF808080"/>
      <name val="Consolas"/>
      <family val="3"/>
    </font>
    <font>
      <sz val="10"/>
      <color theme="1"/>
      <name val="Arial"/>
      <family val="2"/>
    </font>
    <font>
      <sz val="10"/>
      <color theme="1"/>
      <name val="Arial"/>
      <family val="1"/>
      <charset val="2"/>
    </font>
    <font>
      <vertAlign val="subscript"/>
      <sz val="10"/>
      <color theme="1"/>
      <name val="Arial"/>
      <family val="2"/>
    </font>
    <font>
      <sz val="10"/>
      <color theme="1"/>
      <name val="Symbol"/>
      <family val="1"/>
      <charset val="2"/>
    </font>
    <font>
      <b/>
      <sz val="10"/>
      <color theme="1"/>
      <name val="Arial"/>
      <family val="2"/>
    </font>
    <font>
      <vertAlign val="subscript"/>
      <sz val="10"/>
      <color theme="0" tint="-0.499984740745262"/>
      <name val="Consolas"/>
      <family val="3"/>
    </font>
    <font>
      <b/>
      <i/>
      <vertAlign val="subscript"/>
      <sz val="10"/>
      <color rgb="FF0095D3"/>
      <name val="Arial"/>
      <family val="2"/>
    </font>
    <font>
      <vertAlign val="superscript"/>
      <sz val="10"/>
      <color theme="1"/>
      <name val="Arial"/>
      <family val="2"/>
    </font>
    <font>
      <i/>
      <vertAlign val="subscript"/>
      <sz val="10"/>
      <color theme="1"/>
      <name val="Arial"/>
      <family val="2"/>
    </font>
    <font>
      <vertAlign val="superscript"/>
      <sz val="10"/>
      <color rgb="FF000000"/>
      <name val="Consolas"/>
      <family val="3"/>
    </font>
    <font>
      <b/>
      <sz val="10"/>
      <color theme="1"/>
      <name val="Arial Narrow"/>
      <family val="2"/>
    </font>
    <font>
      <b/>
      <sz val="14"/>
      <color rgb="FF000000"/>
      <name val="Consolas"/>
      <family val="3"/>
    </font>
    <font>
      <sz val="9"/>
      <color rgb="FF808080"/>
      <name val="Consolas"/>
      <family val="3"/>
    </font>
    <font>
      <vertAlign val="subscript"/>
      <sz val="10"/>
      <color theme="1"/>
      <name val="Symbol"/>
      <family val="1"/>
      <charset val="2"/>
    </font>
    <font>
      <sz val="10"/>
      <color rgb="FF00B050"/>
      <name val="Arial"/>
      <family val="2"/>
    </font>
    <font>
      <sz val="10"/>
      <color rgb="FF00B050"/>
      <name val="Arial"/>
      <family val="1"/>
      <charset val="2"/>
    </font>
    <font>
      <i/>
      <sz val="10"/>
      <color rgb="FF00B050"/>
      <name val="Arial"/>
      <family val="2"/>
    </font>
    <font>
      <sz val="10"/>
      <color rgb="FF0070C0"/>
      <name val="Arial"/>
      <family val="1"/>
      <charset val="2"/>
    </font>
    <font>
      <sz val="10"/>
      <color rgb="FF0070C0"/>
      <name val="Symbol"/>
      <family val="1"/>
      <charset val="2"/>
    </font>
    <font>
      <sz val="10"/>
      <color rgb="FF0070C0"/>
      <name val="Arial"/>
      <family val="2"/>
    </font>
    <font>
      <sz val="11"/>
      <color theme="1"/>
      <name val="Arial"/>
      <family val="2"/>
    </font>
    <font>
      <vertAlign val="subscript"/>
      <sz val="11"/>
      <color theme="1"/>
      <name val="Arial"/>
      <family val="2"/>
    </font>
    <font>
      <sz val="10"/>
      <color theme="1"/>
      <name val="Arial"/>
      <family val="2"/>
      <charset val="2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9E1F2"/>
        <bgColor indexed="64"/>
      </patternFill>
    </fill>
    <fill>
      <patternFill patternType="lightUp">
        <bgColor theme="9" tint="0.59999389629810485"/>
      </patternFill>
    </fill>
  </fills>
  <borders count="31">
    <border>
      <left/>
      <right/>
      <top/>
      <bottom/>
      <diagonal/>
    </border>
    <border>
      <left/>
      <right/>
      <top style="thin">
        <color rgb="FFA6A6A6"/>
      </top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/>
      <right/>
      <top/>
      <bottom style="thin">
        <color rgb="FF0095D3"/>
      </bottom>
      <diagonal/>
    </border>
    <border>
      <left/>
      <right/>
      <top/>
      <bottom style="medium">
        <color rgb="FF0095D3"/>
      </bottom>
      <diagonal/>
    </border>
    <border>
      <left/>
      <right/>
      <top style="thin">
        <color rgb="FFA6A6A6"/>
      </top>
      <bottom/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rgb="FFA6A6A6"/>
      </right>
      <top/>
      <bottom/>
      <diagonal/>
    </border>
    <border>
      <left style="thin">
        <color rgb="FFA6A6A6"/>
      </left>
      <right/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rgb="FFA6A6A6"/>
      </right>
      <top/>
      <bottom style="thin">
        <color rgb="FFA6A6A6"/>
      </bottom>
      <diagonal/>
    </border>
    <border>
      <left style="thin">
        <color rgb="FFA6A6A6"/>
      </left>
      <right/>
      <top/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/>
      <top style="thin">
        <color rgb="FFA6A6A6"/>
      </top>
      <bottom/>
      <diagonal/>
    </border>
    <border>
      <left/>
      <right/>
      <top/>
      <bottom style="thick">
        <color rgb="FF0095D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rgb="FF0095D3"/>
      </top>
      <bottom style="thin">
        <color rgb="FF0095D3"/>
      </bottom>
      <diagonal/>
    </border>
    <border>
      <left style="thin">
        <color rgb="FF0095D3"/>
      </left>
      <right/>
      <top style="thin">
        <color rgb="FF0095D3"/>
      </top>
      <bottom style="thin">
        <color rgb="FF0095D3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theme="0" tint="-0.34998626667073579"/>
      </left>
      <right/>
      <top/>
      <bottom style="thin">
        <color rgb="FFA6A6A6"/>
      </bottom>
      <diagonal/>
    </border>
    <border>
      <left/>
      <right style="thin">
        <color theme="0" tint="-0.34998626667073579"/>
      </right>
      <top/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0095D3"/>
      </left>
      <right style="thin">
        <color rgb="FF0095D3"/>
      </right>
      <top style="thin">
        <color rgb="FF0095D3"/>
      </top>
      <bottom style="thin">
        <color rgb="FF0095D3"/>
      </bottom>
      <diagonal/>
    </border>
  </borders>
  <cellStyleXfs count="9">
    <xf numFmtId="0" fontId="0" fillId="0" borderId="0"/>
    <xf numFmtId="0" fontId="4" fillId="0" borderId="0"/>
    <xf numFmtId="0" fontId="3" fillId="0" borderId="0"/>
    <xf numFmtId="9" fontId="41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</cellStyleXfs>
  <cellXfs count="168">
    <xf numFmtId="0" fontId="0" fillId="0" borderId="0" xfId="0"/>
    <xf numFmtId="0" fontId="5" fillId="2" borderId="0" xfId="1" applyFont="1" applyFill="1" applyAlignment="1">
      <alignment vertical="center"/>
    </xf>
    <xf numFmtId="0" fontId="6" fillId="2" borderId="0" xfId="1" applyFont="1" applyFill="1" applyAlignment="1">
      <alignment vertical="center"/>
    </xf>
    <xf numFmtId="0" fontId="5" fillId="0" borderId="0" xfId="1" applyFont="1" applyAlignment="1">
      <alignment vertical="center"/>
    </xf>
    <xf numFmtId="0" fontId="6" fillId="0" borderId="0" xfId="1" applyFont="1" applyAlignment="1">
      <alignment vertical="center"/>
    </xf>
    <xf numFmtId="0" fontId="7" fillId="3" borderId="1" xfId="1" applyFont="1" applyFill="1" applyBorder="1" applyAlignment="1">
      <alignment horizontal="left" vertical="center"/>
    </xf>
    <xf numFmtId="2" fontId="8" fillId="3" borderId="1" xfId="1" applyNumberFormat="1" applyFont="1" applyFill="1" applyBorder="1" applyAlignment="1">
      <alignment horizontal="center" vertical="center"/>
    </xf>
    <xf numFmtId="0" fontId="7" fillId="3" borderId="1" xfId="1" applyFont="1" applyFill="1" applyBorder="1" applyAlignment="1">
      <alignment horizontal="right" vertical="center"/>
    </xf>
    <xf numFmtId="0" fontId="10" fillId="3" borderId="1" xfId="1" applyFont="1" applyFill="1" applyBorder="1" applyAlignment="1">
      <alignment horizontal="left" vertical="center"/>
    </xf>
    <xf numFmtId="0" fontId="11" fillId="3" borderId="0" xfId="1" applyFont="1" applyFill="1" applyAlignment="1">
      <alignment horizontal="right" vertical="center"/>
    </xf>
    <xf numFmtId="0" fontId="7" fillId="3" borderId="2" xfId="1" applyFont="1" applyFill="1" applyBorder="1" applyAlignment="1">
      <alignment horizontal="right" vertical="center"/>
    </xf>
    <xf numFmtId="0" fontId="10" fillId="3" borderId="2" xfId="1" applyFont="1" applyFill="1" applyBorder="1" applyAlignment="1">
      <alignment horizontal="left" vertical="center"/>
    </xf>
    <xf numFmtId="0" fontId="12" fillId="3" borderId="3" xfId="1" applyFont="1" applyFill="1" applyBorder="1" applyAlignment="1">
      <alignment horizontal="left"/>
    </xf>
    <xf numFmtId="2" fontId="13" fillId="3" borderId="4" xfId="1" applyNumberFormat="1" applyFont="1" applyFill="1" applyBorder="1" applyAlignment="1">
      <alignment horizontal="center"/>
    </xf>
    <xf numFmtId="0" fontId="14" fillId="3" borderId="4" xfId="1" applyFont="1" applyFill="1" applyBorder="1" applyAlignment="1">
      <alignment horizontal="left"/>
    </xf>
    <xf numFmtId="0" fontId="7" fillId="3" borderId="5" xfId="1" applyFont="1" applyFill="1" applyBorder="1" applyAlignment="1">
      <alignment horizontal="left" vertical="center"/>
    </xf>
    <xf numFmtId="0" fontId="7" fillId="3" borderId="5" xfId="1" applyFont="1" applyFill="1" applyBorder="1" applyAlignment="1">
      <alignment horizontal="right" vertical="center"/>
    </xf>
    <xf numFmtId="0" fontId="10" fillId="3" borderId="5" xfId="1" applyFont="1" applyFill="1" applyBorder="1" applyAlignment="1">
      <alignment horizontal="left" vertical="center"/>
    </xf>
    <xf numFmtId="0" fontId="5" fillId="2" borderId="0" xfId="1" applyFont="1" applyFill="1" applyAlignment="1">
      <alignment vertical="center" wrapText="1"/>
    </xf>
    <xf numFmtId="0" fontId="15" fillId="4" borderId="0" xfId="1" applyFont="1" applyFill="1" applyAlignment="1">
      <alignment horizontal="left" vertical="top" wrapText="1"/>
    </xf>
    <xf numFmtId="0" fontId="5" fillId="0" borderId="0" xfId="1" applyFont="1" applyAlignment="1">
      <alignment vertical="center" wrapText="1"/>
    </xf>
    <xf numFmtId="0" fontId="6" fillId="0" borderId="0" xfId="1" applyFont="1" applyAlignment="1">
      <alignment vertical="center" wrapText="1"/>
    </xf>
    <xf numFmtId="0" fontId="16" fillId="0" borderId="7" xfId="1" applyFont="1" applyBorder="1" applyAlignment="1">
      <alignment horizontal="center" vertical="center" wrapText="1"/>
    </xf>
    <xf numFmtId="0" fontId="16" fillId="0" borderId="0" xfId="1" applyFont="1" applyAlignment="1">
      <alignment horizontal="center" vertical="center" wrapText="1"/>
    </xf>
    <xf numFmtId="0" fontId="16" fillId="0" borderId="8" xfId="1" applyFont="1" applyBorder="1" applyAlignment="1">
      <alignment horizontal="center" vertical="center" wrapText="1"/>
    </xf>
    <xf numFmtId="0" fontId="15" fillId="4" borderId="0" xfId="1" applyFont="1" applyFill="1" applyAlignment="1">
      <alignment vertical="top" wrapText="1"/>
    </xf>
    <xf numFmtId="0" fontId="16" fillId="0" borderId="11" xfId="1" applyFont="1" applyBorder="1" applyAlignment="1">
      <alignment vertical="center" wrapText="1"/>
    </xf>
    <xf numFmtId="0" fontId="16" fillId="0" borderId="12" xfId="1" applyFont="1" applyBorder="1" applyAlignment="1">
      <alignment vertical="center" wrapText="1"/>
    </xf>
    <xf numFmtId="0" fontId="16" fillId="0" borderId="13" xfId="1" applyFont="1" applyBorder="1" applyAlignment="1">
      <alignment vertical="center" wrapText="1"/>
    </xf>
    <xf numFmtId="0" fontId="6" fillId="0" borderId="9" xfId="1" applyFont="1" applyBorder="1" applyAlignment="1">
      <alignment vertical="center"/>
    </xf>
    <xf numFmtId="0" fontId="6" fillId="0" borderId="10" xfId="1" applyFont="1" applyBorder="1" applyAlignment="1">
      <alignment vertical="center"/>
    </xf>
    <xf numFmtId="0" fontId="6" fillId="0" borderId="16" xfId="1" applyFont="1" applyBorder="1" applyAlignment="1">
      <alignment vertical="center"/>
    </xf>
    <xf numFmtId="0" fontId="6" fillId="0" borderId="5" xfId="1" applyFont="1" applyBorder="1" applyAlignment="1">
      <alignment vertical="center"/>
    </xf>
    <xf numFmtId="0" fontId="6" fillId="0" borderId="17" xfId="1" applyFont="1" applyBorder="1" applyAlignment="1">
      <alignment vertical="center"/>
    </xf>
    <xf numFmtId="0" fontId="17" fillId="2" borderId="0" xfId="1" applyFont="1" applyFill="1"/>
    <xf numFmtId="0" fontId="15" fillId="0" borderId="0" xfId="1" applyFont="1" applyAlignment="1">
      <alignment vertical="top" wrapText="1"/>
    </xf>
    <xf numFmtId="2" fontId="18" fillId="3" borderId="18" xfId="1" applyNumberFormat="1" applyFont="1" applyFill="1" applyBorder="1" applyAlignment="1">
      <alignment horizontal="left"/>
    </xf>
    <xf numFmtId="0" fontId="18" fillId="3" borderId="18" xfId="1" applyFont="1" applyFill="1" applyBorder="1" applyAlignment="1">
      <alignment horizontal="left"/>
    </xf>
    <xf numFmtId="0" fontId="19" fillId="2" borderId="0" xfId="1" applyFont="1" applyFill="1" applyAlignment="1">
      <alignment horizontal="center" vertical="center"/>
    </xf>
    <xf numFmtId="0" fontId="20" fillId="2" borderId="0" xfId="1" applyFont="1" applyFill="1" applyAlignment="1">
      <alignment horizontal="right" vertical="center"/>
    </xf>
    <xf numFmtId="0" fontId="21" fillId="2" borderId="0" xfId="1" applyFont="1" applyFill="1" applyAlignment="1">
      <alignment vertical="center"/>
    </xf>
    <xf numFmtId="0" fontId="22" fillId="2" borderId="0" xfId="1" applyFont="1" applyFill="1" applyAlignment="1">
      <alignment horizontal="center" vertical="center"/>
    </xf>
    <xf numFmtId="0" fontId="23" fillId="2" borderId="19" xfId="1" applyFont="1" applyFill="1" applyBorder="1" applyAlignment="1">
      <alignment horizontal="center" vertical="center"/>
    </xf>
    <xf numFmtId="0" fontId="24" fillId="2" borderId="19" xfId="1" applyFont="1" applyFill="1" applyBorder="1" applyAlignment="1">
      <alignment horizontal="center" vertical="center"/>
    </xf>
    <xf numFmtId="14" fontId="24" fillId="2" borderId="19" xfId="1" applyNumberFormat="1" applyFont="1" applyFill="1" applyBorder="1" applyAlignment="1">
      <alignment horizontal="center" vertical="center"/>
    </xf>
    <xf numFmtId="49" fontId="23" fillId="2" borderId="19" xfId="1" applyNumberFormat="1" applyFont="1" applyFill="1" applyBorder="1" applyAlignment="1">
      <alignment horizontal="center" vertical="center"/>
    </xf>
    <xf numFmtId="0" fontId="23" fillId="2" borderId="0" xfId="1" applyFont="1" applyFill="1" applyAlignment="1">
      <alignment horizontal="center"/>
    </xf>
    <xf numFmtId="0" fontId="25" fillId="2" borderId="0" xfId="1" applyFont="1" applyFill="1" applyAlignment="1">
      <alignment horizontal="center"/>
    </xf>
    <xf numFmtId="0" fontId="25" fillId="2" borderId="0" xfId="1" applyFont="1" applyFill="1" applyAlignment="1">
      <alignment horizontal="center" vertical="center"/>
    </xf>
    <xf numFmtId="0" fontId="27" fillId="2" borderId="0" xfId="1" applyFont="1" applyFill="1" applyAlignment="1">
      <alignment horizontal="right" vertical="center"/>
    </xf>
    <xf numFmtId="0" fontId="27" fillId="2" borderId="0" xfId="1" applyFont="1" applyFill="1" applyAlignment="1">
      <alignment vertical="center"/>
    </xf>
    <xf numFmtId="0" fontId="25" fillId="2" borderId="0" xfId="1" applyFont="1" applyFill="1" applyAlignment="1">
      <alignment vertical="center"/>
    </xf>
    <xf numFmtId="0" fontId="5" fillId="2" borderId="23" xfId="1" applyFont="1" applyFill="1" applyBorder="1" applyAlignment="1">
      <alignment vertical="center"/>
    </xf>
    <xf numFmtId="49" fontId="19" fillId="2" borderId="23" xfId="1" applyNumberFormat="1" applyFont="1" applyFill="1" applyBorder="1" applyAlignment="1">
      <alignment horizontal="center" vertical="center"/>
    </xf>
    <xf numFmtId="0" fontId="20" fillId="2" borderId="23" xfId="1" applyFont="1" applyFill="1" applyBorder="1" applyAlignment="1">
      <alignment horizontal="right" vertical="center"/>
    </xf>
    <xf numFmtId="0" fontId="6" fillId="2" borderId="23" xfId="1" applyFont="1" applyFill="1" applyBorder="1" applyAlignment="1">
      <alignment vertical="center"/>
    </xf>
    <xf numFmtId="0" fontId="21" fillId="2" borderId="23" xfId="1" applyFont="1" applyFill="1" applyBorder="1" applyAlignment="1">
      <alignment vertical="center"/>
    </xf>
    <xf numFmtId="0" fontId="6" fillId="2" borderId="24" xfId="1" applyFont="1" applyFill="1" applyBorder="1" applyAlignment="1">
      <alignment vertical="center"/>
    </xf>
    <xf numFmtId="0" fontId="10" fillId="3" borderId="0" xfId="1" applyFont="1" applyFill="1" applyAlignment="1">
      <alignment horizontal="left" vertical="center"/>
    </xf>
    <xf numFmtId="0" fontId="7" fillId="3" borderId="0" xfId="1" applyFont="1" applyFill="1" applyAlignment="1">
      <alignment horizontal="right" vertical="center"/>
    </xf>
    <xf numFmtId="0" fontId="7" fillId="3" borderId="0" xfId="1" applyFont="1" applyFill="1" applyAlignment="1">
      <alignment horizontal="left" vertical="center"/>
    </xf>
    <xf numFmtId="0" fontId="8" fillId="3" borderId="1" xfId="1" applyFont="1" applyFill="1" applyBorder="1" applyAlignment="1">
      <alignment horizontal="center" vertical="center"/>
    </xf>
    <xf numFmtId="164" fontId="8" fillId="3" borderId="1" xfId="1" applyNumberFormat="1" applyFont="1" applyFill="1" applyBorder="1" applyAlignment="1">
      <alignment horizontal="center" vertical="center"/>
    </xf>
    <xf numFmtId="0" fontId="8" fillId="3" borderId="0" xfId="1" applyFont="1" applyFill="1" applyAlignment="1">
      <alignment horizontal="center" vertical="center"/>
    </xf>
    <xf numFmtId="164" fontId="8" fillId="3" borderId="5" xfId="1" applyNumberFormat="1" applyFont="1" applyFill="1" applyBorder="1" applyAlignment="1">
      <alignment horizontal="center" vertical="center"/>
    </xf>
    <xf numFmtId="0" fontId="8" fillId="3" borderId="5" xfId="1" applyFont="1" applyFill="1" applyBorder="1" applyAlignment="1">
      <alignment horizontal="center" vertical="center"/>
    </xf>
    <xf numFmtId="165" fontId="8" fillId="3" borderId="1" xfId="1" applyNumberFormat="1" applyFont="1" applyFill="1" applyBorder="1" applyAlignment="1">
      <alignment horizontal="center" vertical="center"/>
    </xf>
    <xf numFmtId="166" fontId="8" fillId="3" borderId="1" xfId="1" applyNumberFormat="1" applyFont="1" applyFill="1" applyBorder="1" applyAlignment="1">
      <alignment horizontal="center" vertical="center"/>
    </xf>
    <xf numFmtId="1" fontId="8" fillId="3" borderId="5" xfId="1" applyNumberFormat="1" applyFont="1" applyFill="1" applyBorder="1" applyAlignment="1">
      <alignment horizontal="center" vertical="center"/>
    </xf>
    <xf numFmtId="0" fontId="6" fillId="2" borderId="0" xfId="1" applyFont="1" applyFill="1" applyAlignment="1">
      <alignment vertical="center" wrapText="1"/>
    </xf>
    <xf numFmtId="0" fontId="5" fillId="2" borderId="0" xfId="1" applyFont="1" applyFill="1" applyAlignment="1">
      <alignment horizontal="right" vertical="center"/>
    </xf>
    <xf numFmtId="0" fontId="5" fillId="2" borderId="25" xfId="1" applyFont="1" applyFill="1" applyBorder="1" applyAlignment="1">
      <alignment vertical="center"/>
    </xf>
    <xf numFmtId="0" fontId="6" fillId="0" borderId="2" xfId="1" applyFont="1" applyBorder="1" applyAlignment="1">
      <alignment vertical="center"/>
    </xf>
    <xf numFmtId="0" fontId="6" fillId="0" borderId="15" xfId="1" applyFont="1" applyBorder="1" applyAlignment="1">
      <alignment vertical="center"/>
    </xf>
    <xf numFmtId="0" fontId="6" fillId="0" borderId="14" xfId="1" applyFont="1" applyBorder="1" applyAlignment="1">
      <alignment vertical="center"/>
    </xf>
    <xf numFmtId="0" fontId="12" fillId="3" borderId="0" xfId="1" applyFont="1" applyFill="1" applyAlignment="1">
      <alignment horizontal="left" indent="2"/>
    </xf>
    <xf numFmtId="1" fontId="10" fillId="3" borderId="25" xfId="1" applyNumberFormat="1" applyFont="1" applyFill="1" applyBorder="1" applyAlignment="1">
      <alignment horizontal="center" vertical="center"/>
    </xf>
    <xf numFmtId="1" fontId="30" fillId="6" borderId="25" xfId="1" applyNumberFormat="1" applyFont="1" applyFill="1" applyBorder="1" applyAlignment="1">
      <alignment horizontal="center" vertical="center"/>
    </xf>
    <xf numFmtId="0" fontId="30" fillId="6" borderId="25" xfId="1" applyFont="1" applyFill="1" applyBorder="1" applyAlignment="1">
      <alignment horizontal="center" vertical="center"/>
    </xf>
    <xf numFmtId="164" fontId="10" fillId="3" borderId="25" xfId="1" applyNumberFormat="1" applyFont="1" applyFill="1" applyBorder="1" applyAlignment="1">
      <alignment horizontal="center" vertical="center"/>
    </xf>
    <xf numFmtId="11" fontId="10" fillId="3" borderId="25" xfId="1" applyNumberFormat="1" applyFont="1" applyFill="1" applyBorder="1" applyAlignment="1">
      <alignment horizontal="center" vertical="center"/>
    </xf>
    <xf numFmtId="0" fontId="34" fillId="3" borderId="1" xfId="1" applyFont="1" applyFill="1" applyBorder="1" applyAlignment="1">
      <alignment horizontal="right" vertical="center"/>
    </xf>
    <xf numFmtId="0" fontId="33" fillId="3" borderId="1" xfId="1" applyFont="1" applyFill="1" applyBorder="1" applyAlignment="1">
      <alignment horizontal="right" vertical="center"/>
    </xf>
    <xf numFmtId="0" fontId="34" fillId="3" borderId="5" xfId="1" applyFont="1" applyFill="1" applyBorder="1" applyAlignment="1">
      <alignment horizontal="right" vertical="center"/>
    </xf>
    <xf numFmtId="165" fontId="8" fillId="3" borderId="5" xfId="1" applyNumberFormat="1" applyFont="1" applyFill="1" applyBorder="1" applyAlignment="1">
      <alignment horizontal="center" vertical="center"/>
    </xf>
    <xf numFmtId="0" fontId="5" fillId="2" borderId="0" xfId="2" applyFont="1" applyFill="1" applyAlignment="1">
      <alignment vertical="center"/>
    </xf>
    <xf numFmtId="0" fontId="5" fillId="0" borderId="0" xfId="2" applyFont="1" applyAlignment="1">
      <alignment vertical="center"/>
    </xf>
    <xf numFmtId="0" fontId="6" fillId="0" borderId="0" xfId="2" applyFont="1" applyAlignment="1">
      <alignment vertical="center"/>
    </xf>
    <xf numFmtId="14" fontId="5" fillId="2" borderId="0" xfId="2" applyNumberFormat="1" applyFont="1" applyFill="1" applyAlignment="1">
      <alignment vertical="center"/>
    </xf>
    <xf numFmtId="0" fontId="16" fillId="0" borderId="26" xfId="1" applyFont="1" applyBorder="1" applyAlignment="1">
      <alignment horizontal="center" vertical="center" wrapText="1"/>
    </xf>
    <xf numFmtId="0" fontId="16" fillId="0" borderId="2" xfId="1" applyFont="1" applyBorder="1" applyAlignment="1">
      <alignment horizontal="center" vertical="center" wrapText="1"/>
    </xf>
    <xf numFmtId="0" fontId="16" fillId="0" borderId="27" xfId="1" applyFont="1" applyBorder="1" applyAlignment="1">
      <alignment horizontal="center" vertical="center" wrapText="1"/>
    </xf>
    <xf numFmtId="164" fontId="8" fillId="3" borderId="2" xfId="1" applyNumberFormat="1" applyFont="1" applyFill="1" applyBorder="1" applyAlignment="1">
      <alignment horizontal="center" vertical="center"/>
    </xf>
    <xf numFmtId="0" fontId="7" fillId="3" borderId="2" xfId="1" applyFont="1" applyFill="1" applyBorder="1" applyAlignment="1">
      <alignment horizontal="left" vertical="center"/>
    </xf>
    <xf numFmtId="0" fontId="12" fillId="3" borderId="3" xfId="1" applyFont="1" applyFill="1" applyBorder="1" applyAlignment="1">
      <alignment horizontal="left" wrapText="1"/>
    </xf>
    <xf numFmtId="0" fontId="12" fillId="3" borderId="0" xfId="1" applyFont="1" applyFill="1" applyAlignment="1">
      <alignment horizontal="left" wrapText="1" indent="2"/>
    </xf>
    <xf numFmtId="164" fontId="8" fillId="3" borderId="0" xfId="1" applyNumberFormat="1" applyFont="1" applyFill="1" applyAlignment="1">
      <alignment horizontal="center" vertical="center"/>
    </xf>
    <xf numFmtId="166" fontId="8" fillId="3" borderId="2" xfId="1" applyNumberFormat="1" applyFont="1" applyFill="1" applyBorder="1" applyAlignment="1">
      <alignment horizontal="center" vertical="center"/>
    </xf>
    <xf numFmtId="1" fontId="8" fillId="3" borderId="1" xfId="1" applyNumberFormat="1" applyFont="1" applyFill="1" applyBorder="1" applyAlignment="1">
      <alignment horizontal="center" vertical="center"/>
    </xf>
    <xf numFmtId="0" fontId="37" fillId="4" borderId="0" xfId="1" applyFont="1" applyFill="1" applyAlignment="1">
      <alignment vertical="center"/>
    </xf>
    <xf numFmtId="0" fontId="38" fillId="4" borderId="0" xfId="1" applyFont="1" applyFill="1" applyAlignment="1">
      <alignment horizontal="center" vertical="center"/>
    </xf>
    <xf numFmtId="0" fontId="39" fillId="4" borderId="0" xfId="1" applyFont="1" applyFill="1" applyAlignment="1">
      <alignment horizontal="center" vertical="center"/>
    </xf>
    <xf numFmtId="164" fontId="37" fillId="4" borderId="28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7" borderId="0" xfId="0" applyFill="1"/>
    <xf numFmtId="0" fontId="42" fillId="0" borderId="0" xfId="0" applyFont="1" applyAlignment="1">
      <alignment horizontal="center"/>
    </xf>
    <xf numFmtId="167" fontId="0" fillId="0" borderId="0" xfId="0" applyNumberFormat="1" applyAlignment="1">
      <alignment horizontal="center"/>
    </xf>
    <xf numFmtId="164" fontId="0" fillId="7" borderId="0" xfId="0" applyNumberFormat="1" applyFill="1" applyAlignment="1">
      <alignment horizontal="center"/>
    </xf>
    <xf numFmtId="2" fontId="0" fillId="7" borderId="0" xfId="0" applyNumberFormat="1" applyFill="1" applyAlignment="1">
      <alignment horizontal="center"/>
    </xf>
    <xf numFmtId="166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1" fontId="0" fillId="7" borderId="0" xfId="0" applyNumberFormat="1" applyFill="1" applyAlignment="1">
      <alignment horizontal="center"/>
    </xf>
    <xf numFmtId="0" fontId="44" fillId="0" borderId="0" xfId="0" applyFont="1" applyAlignment="1">
      <alignment horizontal="center"/>
    </xf>
    <xf numFmtId="165" fontId="0" fillId="7" borderId="0" xfId="0" applyNumberFormat="1" applyFill="1" applyAlignment="1">
      <alignment horizontal="center"/>
    </xf>
    <xf numFmtId="11" fontId="0" fillId="7" borderId="0" xfId="0" applyNumberFormat="1" applyFill="1" applyAlignment="1">
      <alignment horizontal="center"/>
    </xf>
    <xf numFmtId="0" fontId="0" fillId="0" borderId="29" xfId="0" applyBorder="1"/>
    <xf numFmtId="0" fontId="45" fillId="0" borderId="29" xfId="0" applyFont="1" applyBorder="1" applyAlignment="1">
      <alignment horizontal="center"/>
    </xf>
    <xf numFmtId="0" fontId="45" fillId="0" borderId="0" xfId="0" applyFont="1"/>
    <xf numFmtId="168" fontId="0" fillId="7" borderId="0" xfId="3" applyNumberFormat="1" applyFont="1" applyFill="1" applyAlignment="1">
      <alignment horizontal="center"/>
    </xf>
    <xf numFmtId="0" fontId="5" fillId="4" borderId="0" xfId="1" applyFont="1" applyFill="1" applyAlignment="1">
      <alignment vertical="center"/>
    </xf>
    <xf numFmtId="164" fontId="37" fillId="4" borderId="25" xfId="1" applyNumberFormat="1" applyFont="1" applyFill="1" applyBorder="1" applyAlignment="1">
      <alignment horizontal="center" vertical="center"/>
    </xf>
    <xf numFmtId="164" fontId="40" fillId="4" borderId="25" xfId="1" applyNumberFormat="1" applyFont="1" applyFill="1" applyBorder="1" applyAlignment="1">
      <alignment horizontal="center" vertical="center"/>
    </xf>
    <xf numFmtId="169" fontId="40" fillId="4" borderId="28" xfId="1" applyNumberFormat="1" applyFont="1" applyFill="1" applyBorder="1" applyAlignment="1">
      <alignment horizontal="center" vertical="center"/>
    </xf>
    <xf numFmtId="164" fontId="37" fillId="4" borderId="0" xfId="1" applyNumberFormat="1" applyFont="1" applyFill="1" applyAlignment="1">
      <alignment horizontal="center" vertical="center"/>
    </xf>
    <xf numFmtId="164" fontId="40" fillId="4" borderId="0" xfId="1" applyNumberFormat="1" applyFont="1" applyFill="1" applyAlignment="1">
      <alignment horizontal="center" vertical="center"/>
    </xf>
    <xf numFmtId="165" fontId="8" fillId="3" borderId="0" xfId="1" applyNumberFormat="1" applyFont="1" applyFill="1" applyAlignment="1">
      <alignment horizontal="center" vertical="center"/>
    </xf>
    <xf numFmtId="0" fontId="12" fillId="3" borderId="0" xfId="1" applyFont="1" applyFill="1" applyAlignment="1">
      <alignment horizontal="left"/>
    </xf>
    <xf numFmtId="0" fontId="8" fillId="8" borderId="30" xfId="1" applyFont="1" applyFill="1" applyBorder="1" applyAlignment="1">
      <alignment horizontal="center" vertical="center"/>
    </xf>
    <xf numFmtId="0" fontId="0" fillId="9" borderId="0" xfId="0" applyFill="1"/>
    <xf numFmtId="164" fontId="16" fillId="7" borderId="0" xfId="0" applyNumberFormat="1" applyFont="1" applyFill="1" applyAlignment="1">
      <alignment horizontal="center"/>
    </xf>
    <xf numFmtId="0" fontId="16" fillId="0" borderId="0" xfId="0" applyFont="1" applyAlignment="1">
      <alignment horizontal="center"/>
    </xf>
    <xf numFmtId="167" fontId="16" fillId="0" borderId="0" xfId="0" applyNumberFormat="1" applyFont="1" applyAlignment="1">
      <alignment horizontal="center"/>
    </xf>
    <xf numFmtId="0" fontId="16" fillId="0" borderId="0" xfId="0" applyFont="1"/>
    <xf numFmtId="0" fontId="5" fillId="2" borderId="0" xfId="1" applyFont="1" applyFill="1" applyAlignment="1">
      <alignment horizontal="center" vertical="center"/>
    </xf>
    <xf numFmtId="0" fontId="51" fillId="0" borderId="28" xfId="0" applyFont="1" applyBorder="1" applyAlignment="1">
      <alignment horizontal="center"/>
    </xf>
    <xf numFmtId="0" fontId="52" fillId="8" borderId="30" xfId="0" applyFont="1" applyFill="1" applyBorder="1" applyAlignment="1">
      <alignment horizontal="center"/>
    </xf>
    <xf numFmtId="0" fontId="53" fillId="0" borderId="0" xfId="0" applyFont="1" applyAlignment="1">
      <alignment horizontal="center"/>
    </xf>
    <xf numFmtId="0" fontId="5" fillId="2" borderId="0" xfId="1" applyFont="1" applyFill="1" applyAlignment="1">
      <alignment horizontal="left" vertical="center"/>
    </xf>
    <xf numFmtId="0" fontId="55" fillId="0" borderId="0" xfId="0" applyFont="1" applyAlignment="1">
      <alignment horizontal="center"/>
    </xf>
    <xf numFmtId="0" fontId="56" fillId="0" borderId="0" xfId="0" applyFont="1" applyAlignment="1">
      <alignment horizontal="center"/>
    </xf>
    <xf numFmtId="0" fontId="57" fillId="0" borderId="0" xfId="0" applyFont="1" applyAlignment="1">
      <alignment horizontal="center"/>
    </xf>
    <xf numFmtId="0" fontId="58" fillId="0" borderId="0" xfId="0" applyFont="1" applyAlignment="1">
      <alignment horizontal="center"/>
    </xf>
    <xf numFmtId="0" fontId="60" fillId="0" borderId="0" xfId="0" applyFont="1"/>
    <xf numFmtId="167" fontId="60" fillId="0" borderId="0" xfId="0" applyNumberFormat="1" applyFont="1" applyAlignment="1">
      <alignment horizontal="center"/>
    </xf>
    <xf numFmtId="0" fontId="60" fillId="0" borderId="0" xfId="0" applyFont="1" applyAlignment="1">
      <alignment horizontal="center"/>
    </xf>
    <xf numFmtId="0" fontId="59" fillId="0" borderId="0" xfId="0" applyFont="1" applyAlignment="1">
      <alignment horizontal="center"/>
    </xf>
    <xf numFmtId="172" fontId="0" fillId="7" borderId="0" xfId="0" applyNumberFormat="1" applyFill="1" applyAlignment="1">
      <alignment horizontal="center"/>
    </xf>
    <xf numFmtId="2" fontId="10" fillId="3" borderId="25" xfId="1" applyNumberFormat="1" applyFont="1" applyFill="1" applyBorder="1" applyAlignment="1">
      <alignment horizontal="center" vertical="center"/>
    </xf>
    <xf numFmtId="173" fontId="0" fillId="0" borderId="0" xfId="0" applyNumberFormat="1"/>
    <xf numFmtId="170" fontId="0" fillId="7" borderId="0" xfId="0" applyNumberFormat="1" applyFill="1" applyAlignment="1">
      <alignment horizontal="center"/>
    </xf>
    <xf numFmtId="171" fontId="0" fillId="7" borderId="0" xfId="0" applyNumberFormat="1" applyFill="1" applyAlignment="1">
      <alignment horizontal="center"/>
    </xf>
    <xf numFmtId="2" fontId="8" fillId="3" borderId="5" xfId="1" applyNumberFormat="1" applyFont="1" applyFill="1" applyBorder="1" applyAlignment="1">
      <alignment horizontal="center" vertical="center"/>
    </xf>
    <xf numFmtId="11" fontId="8" fillId="3" borderId="1" xfId="1" applyNumberFormat="1" applyFont="1" applyFill="1" applyBorder="1" applyAlignment="1">
      <alignment horizontal="center" vertical="center"/>
    </xf>
    <xf numFmtId="0" fontId="61" fillId="0" borderId="0" xfId="8" applyFont="1" applyAlignment="1">
      <alignment horizontal="center"/>
    </xf>
    <xf numFmtId="0" fontId="63" fillId="0" borderId="0" xfId="0" applyFont="1" applyAlignment="1">
      <alignment horizontal="left"/>
    </xf>
    <xf numFmtId="0" fontId="23" fillId="2" borderId="22" xfId="1" applyFont="1" applyFill="1" applyBorder="1" applyAlignment="1">
      <alignment horizontal="left" vertical="center"/>
    </xf>
    <xf numFmtId="0" fontId="23" fillId="2" borderId="21" xfId="1" applyFont="1" applyFill="1" applyBorder="1" applyAlignment="1">
      <alignment horizontal="left" vertical="center"/>
    </xf>
    <xf numFmtId="0" fontId="23" fillId="2" borderId="20" xfId="1" applyFont="1" applyFill="1" applyBorder="1" applyAlignment="1">
      <alignment horizontal="left" vertical="center"/>
    </xf>
    <xf numFmtId="0" fontId="36" fillId="3" borderId="1" xfId="2" applyFont="1" applyFill="1" applyBorder="1" applyAlignment="1">
      <alignment horizontal="left" vertical="center"/>
    </xf>
    <xf numFmtId="14" fontId="10" fillId="3" borderId="1" xfId="2" applyNumberFormat="1" applyFont="1" applyFill="1" applyBorder="1" applyAlignment="1">
      <alignment horizontal="left" vertical="center" shrinkToFit="1"/>
    </xf>
    <xf numFmtId="0" fontId="10" fillId="3" borderId="1" xfId="2" applyFont="1" applyFill="1" applyBorder="1" applyAlignment="1">
      <alignment horizontal="left" vertical="center"/>
    </xf>
    <xf numFmtId="0" fontId="26" fillId="2" borderId="0" xfId="1" applyFont="1" applyFill="1" applyAlignment="1">
      <alignment horizontal="left" vertical="top" wrapText="1"/>
    </xf>
    <xf numFmtId="0" fontId="26" fillId="2" borderId="0" xfId="1" applyFont="1" applyFill="1" applyAlignment="1">
      <alignment horizontal="left" vertical="top"/>
    </xf>
    <xf numFmtId="0" fontId="25" fillId="2" borderId="6" xfId="1" applyFont="1" applyFill="1" applyBorder="1" applyAlignment="1">
      <alignment horizontal="center"/>
    </xf>
    <xf numFmtId="0" fontId="10" fillId="3" borderId="1" xfId="2" quotePrefix="1" applyFont="1" applyFill="1" applyBorder="1" applyAlignment="1">
      <alignment horizontal="left" vertical="center"/>
    </xf>
    <xf numFmtId="0" fontId="15" fillId="5" borderId="10" xfId="1" applyFont="1" applyFill="1" applyBorder="1" applyAlignment="1">
      <alignment horizontal="center" vertical="center" wrapText="1"/>
    </xf>
    <xf numFmtId="0" fontId="15" fillId="5" borderId="0" xfId="1" applyFont="1" applyFill="1" applyAlignment="1">
      <alignment horizontal="center" vertical="center" wrapText="1"/>
    </xf>
    <xf numFmtId="0" fontId="15" fillId="5" borderId="9" xfId="1" applyFont="1" applyFill="1" applyBorder="1" applyAlignment="1">
      <alignment horizontal="center" vertical="center" wrapText="1"/>
    </xf>
  </cellXfs>
  <cellStyles count="9">
    <cellStyle name="Normal" xfId="0" builtinId="0"/>
    <cellStyle name="Normal 2" xfId="1" xr:uid="{441ACF27-160B-4F68-B601-75E0F5333046}"/>
    <cellStyle name="Normal 2 2" xfId="4" xr:uid="{C1D30E0C-7C3D-4B1D-9133-FEEA7CD75A88}"/>
    <cellStyle name="Normal 2 3" xfId="6" xr:uid="{B53E3B6D-8252-4B0F-BB8A-4F69B2AB4309}"/>
    <cellStyle name="Normal 3" xfId="2" xr:uid="{E743A38D-16A7-497B-BF78-6D533003511F}"/>
    <cellStyle name="Normal 3 2" xfId="5" xr:uid="{2FBB15B9-17A9-4CFA-8BD1-0C9FAB04D83A}"/>
    <cellStyle name="Normal 3 3" xfId="7" xr:uid="{E7F3BA36-62F5-4014-9448-A14F8B1B99DD}"/>
    <cellStyle name="Percent" xfId="3" builtinId="5"/>
    <cellStyle name="Standard 2" xfId="8" xr:uid="{01EB1CCF-760D-42B9-8631-D2AD57BA2130}"/>
  </cellStyles>
  <dxfs count="28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-1436.0325204962346</c:v>
                </c:pt>
                <c:pt idx="1">
                  <c:v>-1400.3048172876813</c:v>
                </c:pt>
                <c:pt idx="2">
                  <c:v>-1364.5771140791285</c:v>
                </c:pt>
                <c:pt idx="3">
                  <c:v>-1328.8494108705754</c:v>
                </c:pt>
                <c:pt idx="4">
                  <c:v>-1293.1217076620221</c:v>
                </c:pt>
                <c:pt idx="5">
                  <c:v>-1257.3940044534691</c:v>
                </c:pt>
                <c:pt idx="6">
                  <c:v>-1221.6663012449162</c:v>
                </c:pt>
                <c:pt idx="7">
                  <c:v>-1185.9385980363629</c:v>
                </c:pt>
                <c:pt idx="8">
                  <c:v>-1150.2108948278101</c:v>
                </c:pt>
                <c:pt idx="9">
                  <c:v>-1114.483191619257</c:v>
                </c:pt>
                <c:pt idx="10">
                  <c:v>-1078.7554884107039</c:v>
                </c:pt>
                <c:pt idx="11">
                  <c:v>-1043.0277852021509</c:v>
                </c:pt>
                <c:pt idx="12">
                  <c:v>-1007.3000819935978</c:v>
                </c:pt>
                <c:pt idx="13">
                  <c:v>-971.57237878504463</c:v>
                </c:pt>
                <c:pt idx="14">
                  <c:v>-935.84467557649168</c:v>
                </c:pt>
                <c:pt idx="15">
                  <c:v>-900.1169723679385</c:v>
                </c:pt>
                <c:pt idx="16">
                  <c:v>-864.38926915938544</c:v>
                </c:pt>
                <c:pt idx="17">
                  <c:v>-828.66156595083248</c:v>
                </c:pt>
                <c:pt idx="18">
                  <c:v>-792.9338627422793</c:v>
                </c:pt>
                <c:pt idx="19">
                  <c:v>-757.20615953372624</c:v>
                </c:pt>
                <c:pt idx="20">
                  <c:v>-721.47845632517317</c:v>
                </c:pt>
                <c:pt idx="21">
                  <c:v>-685.7507531166201</c:v>
                </c:pt>
                <c:pt idx="22">
                  <c:v>-650.02304990806715</c:v>
                </c:pt>
                <c:pt idx="23">
                  <c:v>-614.29534669951397</c:v>
                </c:pt>
                <c:pt idx="24">
                  <c:v>-578.5676434909609</c:v>
                </c:pt>
                <c:pt idx="25">
                  <c:v>-542.83994028240795</c:v>
                </c:pt>
                <c:pt idx="26">
                  <c:v>-507.11223707385477</c:v>
                </c:pt>
                <c:pt idx="27">
                  <c:v>-471.38453386530176</c:v>
                </c:pt>
                <c:pt idx="28">
                  <c:v>-435.65683065674875</c:v>
                </c:pt>
                <c:pt idx="29">
                  <c:v>-399.92912744819557</c:v>
                </c:pt>
                <c:pt idx="30">
                  <c:v>-364.20142423964245</c:v>
                </c:pt>
                <c:pt idx="31">
                  <c:v>-328.47372103108955</c:v>
                </c:pt>
                <c:pt idx="32">
                  <c:v>-292.74601782253643</c:v>
                </c:pt>
                <c:pt idx="33">
                  <c:v>-257.01831461398325</c:v>
                </c:pt>
                <c:pt idx="34">
                  <c:v>-221.29061140543035</c:v>
                </c:pt>
                <c:pt idx="35">
                  <c:v>-185.56290819687723</c:v>
                </c:pt>
                <c:pt idx="36">
                  <c:v>-149.83520498832408</c:v>
                </c:pt>
                <c:pt idx="37">
                  <c:v>-114.10750177977118</c:v>
                </c:pt>
                <c:pt idx="38">
                  <c:v>-78.379798571218032</c:v>
                </c:pt>
                <c:pt idx="39">
                  <c:v>-42.652095362664902</c:v>
                </c:pt>
                <c:pt idx="40">
                  <c:v>-6.9243921541117599</c:v>
                </c:pt>
                <c:pt idx="41">
                  <c:v>28.803311054441146</c:v>
                </c:pt>
                <c:pt idx="42">
                  <c:v>64.53101426299429</c:v>
                </c:pt>
                <c:pt idx="43">
                  <c:v>100.25871747154743</c:v>
                </c:pt>
                <c:pt idx="44">
                  <c:v>135.98642068010034</c:v>
                </c:pt>
                <c:pt idx="45">
                  <c:v>171.71412388865346</c:v>
                </c:pt>
                <c:pt idx="46">
                  <c:v>207.44182709720661</c:v>
                </c:pt>
                <c:pt idx="47">
                  <c:v>243.16953030575951</c:v>
                </c:pt>
                <c:pt idx="48">
                  <c:v>278.89723351431263</c:v>
                </c:pt>
                <c:pt idx="49">
                  <c:v>314.62493672286581</c:v>
                </c:pt>
                <c:pt idx="50">
                  <c:v>350.35263993141871</c:v>
                </c:pt>
                <c:pt idx="51">
                  <c:v>386.08034313997183</c:v>
                </c:pt>
                <c:pt idx="52">
                  <c:v>421.80804634852495</c:v>
                </c:pt>
                <c:pt idx="53">
                  <c:v>457.53574955707791</c:v>
                </c:pt>
                <c:pt idx="54">
                  <c:v>493.26345276563103</c:v>
                </c:pt>
                <c:pt idx="55">
                  <c:v>528.99115597418415</c:v>
                </c:pt>
                <c:pt idx="56">
                  <c:v>564.71885918273711</c:v>
                </c:pt>
                <c:pt idx="57">
                  <c:v>600.44656239129017</c:v>
                </c:pt>
                <c:pt idx="58">
                  <c:v>636.17426559984335</c:v>
                </c:pt>
                <c:pt idx="59">
                  <c:v>671.90196880839653</c:v>
                </c:pt>
                <c:pt idx="60">
                  <c:v>707.6296720169496</c:v>
                </c:pt>
                <c:pt idx="61">
                  <c:v>743.35737522550232</c:v>
                </c:pt>
                <c:pt idx="62">
                  <c:v>779.08507843405539</c:v>
                </c:pt>
                <c:pt idx="63">
                  <c:v>814.81278164260857</c:v>
                </c:pt>
                <c:pt idx="64">
                  <c:v>850.54048485116175</c:v>
                </c:pt>
                <c:pt idx="65">
                  <c:v>886.26818805971482</c:v>
                </c:pt>
                <c:pt idx="66">
                  <c:v>921.995891268268</c:v>
                </c:pt>
                <c:pt idx="67">
                  <c:v>957.72359447682118</c:v>
                </c:pt>
                <c:pt idx="68">
                  <c:v>993.45129768537379</c:v>
                </c:pt>
                <c:pt idx="69">
                  <c:v>1029.179000893927</c:v>
                </c:pt>
                <c:pt idx="70">
                  <c:v>1064.90670410248</c:v>
                </c:pt>
                <c:pt idx="71">
                  <c:v>1100.6344073110333</c:v>
                </c:pt>
                <c:pt idx="72">
                  <c:v>1136.3621105195864</c:v>
                </c:pt>
                <c:pt idx="73">
                  <c:v>1172.0898137281395</c:v>
                </c:pt>
                <c:pt idx="74">
                  <c:v>1207.8175169366921</c:v>
                </c:pt>
                <c:pt idx="75">
                  <c:v>1243.5452201452454</c:v>
                </c:pt>
                <c:pt idx="76">
                  <c:v>1279.2729233537984</c:v>
                </c:pt>
                <c:pt idx="77">
                  <c:v>1315.0006265623515</c:v>
                </c:pt>
                <c:pt idx="78">
                  <c:v>1350.7283297709048</c:v>
                </c:pt>
                <c:pt idx="79">
                  <c:v>1386.4560329794579</c:v>
                </c:pt>
                <c:pt idx="80">
                  <c:v>1422.1837361880109</c:v>
                </c:pt>
                <c:pt idx="81">
                  <c:v>1457.9114393965638</c:v>
                </c:pt>
                <c:pt idx="82">
                  <c:v>1493.6391426051168</c:v>
                </c:pt>
                <c:pt idx="83">
                  <c:v>1529.3668458136699</c:v>
                </c:pt>
                <c:pt idx="84">
                  <c:v>1565.0945490222232</c:v>
                </c:pt>
                <c:pt idx="85">
                  <c:v>1600.8222522307763</c:v>
                </c:pt>
                <c:pt idx="86">
                  <c:v>1636.5499554393293</c:v>
                </c:pt>
                <c:pt idx="87">
                  <c:v>1672.2776586478822</c:v>
                </c:pt>
                <c:pt idx="88">
                  <c:v>1708.0053618564352</c:v>
                </c:pt>
                <c:pt idx="89">
                  <c:v>1743.7330650649883</c:v>
                </c:pt>
                <c:pt idx="90">
                  <c:v>1779.4607682735414</c:v>
                </c:pt>
                <c:pt idx="91">
                  <c:v>1815.1884714820947</c:v>
                </c:pt>
                <c:pt idx="92">
                  <c:v>1850.9161746906477</c:v>
                </c:pt>
                <c:pt idx="93">
                  <c:v>1886.6438778992003</c:v>
                </c:pt>
                <c:pt idx="94">
                  <c:v>1922.3715811077536</c:v>
                </c:pt>
                <c:pt idx="95">
                  <c:v>1958.0992843163067</c:v>
                </c:pt>
                <c:pt idx="96">
                  <c:v>1993.8269875248598</c:v>
                </c:pt>
                <c:pt idx="97">
                  <c:v>2029.5546907334131</c:v>
                </c:pt>
                <c:pt idx="98">
                  <c:v>2065.2823939419659</c:v>
                </c:pt>
                <c:pt idx="99">
                  <c:v>2101.0100971505194</c:v>
                </c:pt>
              </c:numCache>
            </c:numRef>
          </c:xVal>
          <c:yVal>
            <c:numRef>
              <c:f>Gap30deg!$O$68:$DJ$68</c:f>
              <c:numCache>
                <c:formatCode>General</c:formatCode>
                <c:ptCount val="100"/>
                <c:pt idx="0">
                  <c:v>-322.08126090496728</c:v>
                </c:pt>
                <c:pt idx="1">
                  <c:v>-322.08126090496728</c:v>
                </c:pt>
                <c:pt idx="2">
                  <c:v>-322.07938630742626</c:v>
                </c:pt>
                <c:pt idx="3">
                  <c:v>-321.782387874856</c:v>
                </c:pt>
                <c:pt idx="4">
                  <c:v>-320.97857399664258</c:v>
                </c:pt>
                <c:pt idx="5">
                  <c:v>-319.66794467278601</c:v>
                </c:pt>
                <c:pt idx="6">
                  <c:v>-317.85049990328616</c:v>
                </c:pt>
                <c:pt idx="7">
                  <c:v>-315.52623968814316</c:v>
                </c:pt>
                <c:pt idx="8">
                  <c:v>-312.69516402735678</c:v>
                </c:pt>
                <c:pt idx="9">
                  <c:v>-309.35727292092736</c:v>
                </c:pt>
                <c:pt idx="10">
                  <c:v>-305.51256636885466</c:v>
                </c:pt>
                <c:pt idx="11">
                  <c:v>-301.16104437113881</c:v>
                </c:pt>
                <c:pt idx="12">
                  <c:v>-296.3027069277797</c:v>
                </c:pt>
                <c:pt idx="13">
                  <c:v>-290.93755403877731</c:v>
                </c:pt>
                <c:pt idx="14">
                  <c:v>-285.06558570413176</c:v>
                </c:pt>
                <c:pt idx="15">
                  <c:v>-278.68680192384295</c:v>
                </c:pt>
                <c:pt idx="16">
                  <c:v>-271.80120269791109</c:v>
                </c:pt>
                <c:pt idx="17">
                  <c:v>-264.40878802633586</c:v>
                </c:pt>
                <c:pt idx="18">
                  <c:v>-256.50955790911746</c:v>
                </c:pt>
                <c:pt idx="19">
                  <c:v>-248.10351234625588</c:v>
                </c:pt>
                <c:pt idx="20">
                  <c:v>-239.19065133775106</c:v>
                </c:pt>
                <c:pt idx="21">
                  <c:v>-229.77097488360303</c:v>
                </c:pt>
                <c:pt idx="22">
                  <c:v>-219.84448298381184</c:v>
                </c:pt>
                <c:pt idx="23">
                  <c:v>-209.41117563837739</c:v>
                </c:pt>
                <c:pt idx="24">
                  <c:v>-198.47105284729972</c:v>
                </c:pt>
                <c:pt idx="25">
                  <c:v>-187.02411461057886</c:v>
                </c:pt>
                <c:pt idx="26">
                  <c:v>-175.07036092821474</c:v>
                </c:pt>
                <c:pt idx="27">
                  <c:v>-162.60979180020746</c:v>
                </c:pt>
                <c:pt idx="28">
                  <c:v>-149.64240722655697</c:v>
                </c:pt>
                <c:pt idx="29">
                  <c:v>-136.16820720726321</c:v>
                </c:pt>
                <c:pt idx="30">
                  <c:v>-122.18719174232626</c:v>
                </c:pt>
                <c:pt idx="31">
                  <c:v>-107.69936083174616</c:v>
                </c:pt>
                <c:pt idx="32">
                  <c:v>-92.704714475522763</c:v>
                </c:pt>
                <c:pt idx="33">
                  <c:v>-77.203252673656152</c:v>
                </c:pt>
                <c:pt idx="34">
                  <c:v>-61.194975426146456</c:v>
                </c:pt>
                <c:pt idx="35">
                  <c:v>-44.67988273299342</c:v>
                </c:pt>
                <c:pt idx="36">
                  <c:v>-27.657974594197171</c:v>
                </c:pt>
                <c:pt idx="37">
                  <c:v>-10.110651450323139</c:v>
                </c:pt>
                <c:pt idx="38">
                  <c:v>8.3510683295792134</c:v>
                </c:pt>
                <c:pt idx="39">
                  <c:v>27.882545364470587</c:v>
                </c:pt>
                <c:pt idx="40">
                  <c:v>48.483779654350997</c:v>
                </c:pt>
                <c:pt idx="41">
                  <c:v>70.154771199220306</c:v>
                </c:pt>
                <c:pt idx="42">
                  <c:v>92.895519999078772</c:v>
                </c:pt>
                <c:pt idx="43">
                  <c:v>116.70602605392627</c:v>
                </c:pt>
                <c:pt idx="44">
                  <c:v>141.58628936376266</c:v>
                </c:pt>
                <c:pt idx="45">
                  <c:v>167.5363099285882</c:v>
                </c:pt>
                <c:pt idx="46">
                  <c:v>194.55608774840283</c:v>
                </c:pt>
                <c:pt idx="47">
                  <c:v>222.64562282320628</c:v>
                </c:pt>
                <c:pt idx="48">
                  <c:v>251.80491515299889</c:v>
                </c:pt>
                <c:pt idx="49">
                  <c:v>282.03396473778059</c:v>
                </c:pt>
                <c:pt idx="50">
                  <c:v>313.33277157755111</c:v>
                </c:pt>
                <c:pt idx="51">
                  <c:v>345.7013356723109</c:v>
                </c:pt>
                <c:pt idx="52">
                  <c:v>379.13965702205962</c:v>
                </c:pt>
                <c:pt idx="53">
                  <c:v>413.64773562679721</c:v>
                </c:pt>
                <c:pt idx="54">
                  <c:v>449.22557148652407</c:v>
                </c:pt>
                <c:pt idx="55">
                  <c:v>485.87316460123998</c:v>
                </c:pt>
                <c:pt idx="56">
                  <c:v>523.59051497094458</c:v>
                </c:pt>
                <c:pt idx="57">
                  <c:v>562.37762259563851</c:v>
                </c:pt>
                <c:pt idx="58">
                  <c:v>602.23448747532154</c:v>
                </c:pt>
                <c:pt idx="59">
                  <c:v>643.16110960999356</c:v>
                </c:pt>
                <c:pt idx="60">
                  <c:v>685.15748899965456</c:v>
                </c:pt>
                <c:pt idx="61">
                  <c:v>728.22362564430409</c:v>
                </c:pt>
                <c:pt idx="62">
                  <c:v>772.35951954394318</c:v>
                </c:pt>
                <c:pt idx="63">
                  <c:v>817.56517069857125</c:v>
                </c:pt>
                <c:pt idx="64">
                  <c:v>863.84057910818842</c:v>
                </c:pt>
                <c:pt idx="65">
                  <c:v>911.18574477279458</c:v>
                </c:pt>
                <c:pt idx="66">
                  <c:v>959.60066769238983</c:v>
                </c:pt>
                <c:pt idx="67">
                  <c:v>1009.0853478669741</c:v>
                </c:pt>
                <c:pt idx="68">
                  <c:v>1059.6397852965467</c:v>
                </c:pt>
                <c:pt idx="69">
                  <c:v>1111.2639799811091</c:v>
                </c:pt>
                <c:pt idx="70">
                  <c:v>1163.9579319206605</c:v>
                </c:pt>
                <c:pt idx="71">
                  <c:v>1217.7216411152008</c:v>
                </c:pt>
                <c:pt idx="72">
                  <c:v>1272.55510756473</c:v>
                </c:pt>
                <c:pt idx="73">
                  <c:v>1328.4583312692487</c:v>
                </c:pt>
                <c:pt idx="74">
                  <c:v>1385.4313122287556</c:v>
                </c:pt>
                <c:pt idx="75">
                  <c:v>1443.4740504432518</c:v>
                </c:pt>
                <c:pt idx="76">
                  <c:v>1502.5865459127374</c:v>
                </c:pt>
                <c:pt idx="77">
                  <c:v>1562.7687986372118</c:v>
                </c:pt>
                <c:pt idx="78">
                  <c:v>1624.0208086166756</c:v>
                </c:pt>
                <c:pt idx="79">
                  <c:v>1686.3425758511282</c:v>
                </c:pt>
                <c:pt idx="80">
                  <c:v>1749.7341003405695</c:v>
                </c:pt>
                <c:pt idx="81">
                  <c:v>1814.1953820849994</c:v>
                </c:pt>
                <c:pt idx="82">
                  <c:v>1879.7264210844196</c:v>
                </c:pt>
                <c:pt idx="83">
                  <c:v>1946.3272173388279</c:v>
                </c:pt>
                <c:pt idx="84">
                  <c:v>2013.9977708482261</c:v>
                </c:pt>
                <c:pt idx="85">
                  <c:v>2082.7380816126124</c:v>
                </c:pt>
                <c:pt idx="86">
                  <c:v>2152.5481496319885</c:v>
                </c:pt>
                <c:pt idx="87">
                  <c:v>2223.4279749063526</c:v>
                </c:pt>
                <c:pt idx="88">
                  <c:v>2295.3775574357064</c:v>
                </c:pt>
                <c:pt idx="89">
                  <c:v>2368.3968972200496</c:v>
                </c:pt>
                <c:pt idx="90">
                  <c:v>2442.4859942593812</c:v>
                </c:pt>
                <c:pt idx="91">
                  <c:v>2517.6448485537021</c:v>
                </c:pt>
                <c:pt idx="92">
                  <c:v>2593.8734601030123</c:v>
                </c:pt>
                <c:pt idx="93">
                  <c:v>2671.1718289073106</c:v>
                </c:pt>
                <c:pt idx="94">
                  <c:v>2749.5399549665981</c:v>
                </c:pt>
                <c:pt idx="95">
                  <c:v>2828.9778382808754</c:v>
                </c:pt>
                <c:pt idx="96">
                  <c:v>2909.4854788501416</c:v>
                </c:pt>
                <c:pt idx="97">
                  <c:v>2991.0628766743971</c:v>
                </c:pt>
                <c:pt idx="98">
                  <c:v>3073.710031753641</c:v>
                </c:pt>
                <c:pt idx="99">
                  <c:v>3157.4269440878747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62-4B8A-9811-2E7CB3C61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-1436.0325204962346</c:v>
                </c:pt>
                <c:pt idx="1">
                  <c:v>-1400.3048172876813</c:v>
                </c:pt>
                <c:pt idx="2">
                  <c:v>-1364.5771140791285</c:v>
                </c:pt>
                <c:pt idx="3">
                  <c:v>-1328.8494108705754</c:v>
                </c:pt>
                <c:pt idx="4">
                  <c:v>-1293.1217076620221</c:v>
                </c:pt>
                <c:pt idx="5">
                  <c:v>-1257.3940044534691</c:v>
                </c:pt>
                <c:pt idx="6">
                  <c:v>-1221.6663012449162</c:v>
                </c:pt>
                <c:pt idx="7">
                  <c:v>-1185.9385980363629</c:v>
                </c:pt>
                <c:pt idx="8">
                  <c:v>-1150.2108948278101</c:v>
                </c:pt>
                <c:pt idx="9">
                  <c:v>-1114.483191619257</c:v>
                </c:pt>
                <c:pt idx="10">
                  <c:v>-1078.7554884107039</c:v>
                </c:pt>
                <c:pt idx="11">
                  <c:v>-1043.0277852021509</c:v>
                </c:pt>
                <c:pt idx="12">
                  <c:v>-1007.3000819935978</c:v>
                </c:pt>
                <c:pt idx="13">
                  <c:v>-971.57237878504463</c:v>
                </c:pt>
                <c:pt idx="14">
                  <c:v>-935.84467557649168</c:v>
                </c:pt>
                <c:pt idx="15">
                  <c:v>-900.1169723679385</c:v>
                </c:pt>
                <c:pt idx="16">
                  <c:v>-864.38926915938544</c:v>
                </c:pt>
                <c:pt idx="17">
                  <c:v>-828.66156595083248</c:v>
                </c:pt>
                <c:pt idx="18">
                  <c:v>-792.9338627422793</c:v>
                </c:pt>
                <c:pt idx="19">
                  <c:v>-757.20615953372624</c:v>
                </c:pt>
                <c:pt idx="20">
                  <c:v>-721.47845632517317</c:v>
                </c:pt>
                <c:pt idx="21">
                  <c:v>-685.7507531166201</c:v>
                </c:pt>
                <c:pt idx="22">
                  <c:v>-650.02304990806715</c:v>
                </c:pt>
                <c:pt idx="23">
                  <c:v>-614.29534669951397</c:v>
                </c:pt>
                <c:pt idx="24">
                  <c:v>-578.5676434909609</c:v>
                </c:pt>
                <c:pt idx="25">
                  <c:v>-542.83994028240795</c:v>
                </c:pt>
                <c:pt idx="26">
                  <c:v>-507.11223707385477</c:v>
                </c:pt>
                <c:pt idx="27">
                  <c:v>-471.38453386530176</c:v>
                </c:pt>
                <c:pt idx="28">
                  <c:v>-435.65683065674875</c:v>
                </c:pt>
                <c:pt idx="29">
                  <c:v>-399.92912744819557</c:v>
                </c:pt>
                <c:pt idx="30">
                  <c:v>-364.20142423964245</c:v>
                </c:pt>
                <c:pt idx="31">
                  <c:v>-328.47372103108955</c:v>
                </c:pt>
                <c:pt idx="32">
                  <c:v>-292.74601782253643</c:v>
                </c:pt>
                <c:pt idx="33">
                  <c:v>-257.01831461398325</c:v>
                </c:pt>
                <c:pt idx="34">
                  <c:v>-221.29061140543035</c:v>
                </c:pt>
                <c:pt idx="35">
                  <c:v>-185.56290819687723</c:v>
                </c:pt>
                <c:pt idx="36">
                  <c:v>-149.83520498832408</c:v>
                </c:pt>
                <c:pt idx="37">
                  <c:v>-114.10750177977118</c:v>
                </c:pt>
                <c:pt idx="38">
                  <c:v>-78.379798571218032</c:v>
                </c:pt>
                <c:pt idx="39">
                  <c:v>-42.652095362664902</c:v>
                </c:pt>
                <c:pt idx="40">
                  <c:v>-6.9243921541117599</c:v>
                </c:pt>
                <c:pt idx="41">
                  <c:v>28.803311054441146</c:v>
                </c:pt>
                <c:pt idx="42">
                  <c:v>64.53101426299429</c:v>
                </c:pt>
                <c:pt idx="43">
                  <c:v>100.25871747154743</c:v>
                </c:pt>
                <c:pt idx="44">
                  <c:v>135.98642068010034</c:v>
                </c:pt>
                <c:pt idx="45">
                  <c:v>171.71412388865346</c:v>
                </c:pt>
                <c:pt idx="46">
                  <c:v>207.44182709720661</c:v>
                </c:pt>
                <c:pt idx="47">
                  <c:v>243.16953030575951</c:v>
                </c:pt>
                <c:pt idx="48">
                  <c:v>278.89723351431263</c:v>
                </c:pt>
                <c:pt idx="49">
                  <c:v>314.62493672286581</c:v>
                </c:pt>
                <c:pt idx="50">
                  <c:v>350.35263993141871</c:v>
                </c:pt>
                <c:pt idx="51">
                  <c:v>386.08034313997183</c:v>
                </c:pt>
                <c:pt idx="52">
                  <c:v>421.80804634852495</c:v>
                </c:pt>
                <c:pt idx="53">
                  <c:v>457.53574955707791</c:v>
                </c:pt>
                <c:pt idx="54">
                  <c:v>493.26345276563103</c:v>
                </c:pt>
                <c:pt idx="55">
                  <c:v>528.99115597418415</c:v>
                </c:pt>
                <c:pt idx="56">
                  <c:v>564.71885918273711</c:v>
                </c:pt>
                <c:pt idx="57">
                  <c:v>600.44656239129017</c:v>
                </c:pt>
                <c:pt idx="58">
                  <c:v>636.17426559984335</c:v>
                </c:pt>
                <c:pt idx="59">
                  <c:v>671.90196880839653</c:v>
                </c:pt>
                <c:pt idx="60">
                  <c:v>707.6296720169496</c:v>
                </c:pt>
                <c:pt idx="61">
                  <c:v>743.35737522550232</c:v>
                </c:pt>
                <c:pt idx="62">
                  <c:v>779.08507843405539</c:v>
                </c:pt>
                <c:pt idx="63">
                  <c:v>814.81278164260857</c:v>
                </c:pt>
                <c:pt idx="64">
                  <c:v>850.54048485116175</c:v>
                </c:pt>
                <c:pt idx="65">
                  <c:v>886.26818805971482</c:v>
                </c:pt>
                <c:pt idx="66">
                  <c:v>921.995891268268</c:v>
                </c:pt>
                <c:pt idx="67">
                  <c:v>957.72359447682118</c:v>
                </c:pt>
                <c:pt idx="68">
                  <c:v>993.45129768537379</c:v>
                </c:pt>
                <c:pt idx="69">
                  <c:v>1029.179000893927</c:v>
                </c:pt>
                <c:pt idx="70">
                  <c:v>1064.90670410248</c:v>
                </c:pt>
                <c:pt idx="71">
                  <c:v>1100.6344073110333</c:v>
                </c:pt>
                <c:pt idx="72">
                  <c:v>1136.3621105195864</c:v>
                </c:pt>
                <c:pt idx="73">
                  <c:v>1172.0898137281395</c:v>
                </c:pt>
                <c:pt idx="74">
                  <c:v>1207.8175169366921</c:v>
                </c:pt>
                <c:pt idx="75">
                  <c:v>1243.5452201452454</c:v>
                </c:pt>
                <c:pt idx="76">
                  <c:v>1279.2729233537984</c:v>
                </c:pt>
                <c:pt idx="77">
                  <c:v>1315.0006265623515</c:v>
                </c:pt>
                <c:pt idx="78">
                  <c:v>1350.7283297709048</c:v>
                </c:pt>
                <c:pt idx="79">
                  <c:v>1386.4560329794579</c:v>
                </c:pt>
                <c:pt idx="80">
                  <c:v>1422.1837361880109</c:v>
                </c:pt>
                <c:pt idx="81">
                  <c:v>1457.9114393965638</c:v>
                </c:pt>
                <c:pt idx="82">
                  <c:v>1493.6391426051168</c:v>
                </c:pt>
                <c:pt idx="83">
                  <c:v>1529.3668458136699</c:v>
                </c:pt>
                <c:pt idx="84">
                  <c:v>1565.0945490222232</c:v>
                </c:pt>
                <c:pt idx="85">
                  <c:v>1600.8222522307763</c:v>
                </c:pt>
                <c:pt idx="86">
                  <c:v>1636.5499554393293</c:v>
                </c:pt>
                <c:pt idx="87">
                  <c:v>1672.2776586478822</c:v>
                </c:pt>
                <c:pt idx="88">
                  <c:v>1708.0053618564352</c:v>
                </c:pt>
                <c:pt idx="89">
                  <c:v>1743.7330650649883</c:v>
                </c:pt>
                <c:pt idx="90">
                  <c:v>1779.4607682735414</c:v>
                </c:pt>
                <c:pt idx="91">
                  <c:v>1815.1884714820947</c:v>
                </c:pt>
                <c:pt idx="92">
                  <c:v>1850.9161746906477</c:v>
                </c:pt>
                <c:pt idx="93">
                  <c:v>1886.6438778992003</c:v>
                </c:pt>
                <c:pt idx="94">
                  <c:v>1922.3715811077536</c:v>
                </c:pt>
                <c:pt idx="95">
                  <c:v>1958.0992843163067</c:v>
                </c:pt>
                <c:pt idx="96">
                  <c:v>1993.8269875248598</c:v>
                </c:pt>
                <c:pt idx="97">
                  <c:v>2029.5546907334131</c:v>
                </c:pt>
                <c:pt idx="98">
                  <c:v>2065.2823939419659</c:v>
                </c:pt>
                <c:pt idx="99">
                  <c:v>2101.0100971505194</c:v>
                </c:pt>
              </c:numCache>
            </c:numRef>
          </c:xVal>
          <c:yVal>
            <c:numRef>
              <c:f>Gap30deg!$O$67:$DJ$67</c:f>
              <c:numCache>
                <c:formatCode>General</c:formatCode>
                <c:ptCount val="100"/>
                <c:pt idx="0">
                  <c:v>2801.0982083537542</c:v>
                </c:pt>
                <c:pt idx="1">
                  <c:v>2801.0982083537542</c:v>
                </c:pt>
                <c:pt idx="2">
                  <c:v>2801.0986651259545</c:v>
                </c:pt>
                <c:pt idx="3">
                  <c:v>2801.171032993997</c:v>
                </c:pt>
                <c:pt idx="4">
                  <c:v>2801.3668936124059</c:v>
                </c:pt>
                <c:pt idx="5">
                  <c:v>2801.6862469811804</c:v>
                </c:pt>
                <c:pt idx="6">
                  <c:v>2802.12909310032</c:v>
                </c:pt>
                <c:pt idx="7">
                  <c:v>2802.6954319698257</c:v>
                </c:pt>
                <c:pt idx="8">
                  <c:v>2803.3852635896969</c:v>
                </c:pt>
                <c:pt idx="9">
                  <c:v>2804.1985879599342</c:v>
                </c:pt>
                <c:pt idx="10">
                  <c:v>2805.1354050805367</c:v>
                </c:pt>
                <c:pt idx="11">
                  <c:v>2806.1957149515056</c:v>
                </c:pt>
                <c:pt idx="12">
                  <c:v>2807.3795175728396</c:v>
                </c:pt>
                <c:pt idx="13">
                  <c:v>2808.6868129445393</c:v>
                </c:pt>
                <c:pt idx="14">
                  <c:v>2810.1176010666054</c:v>
                </c:pt>
                <c:pt idx="15">
                  <c:v>2811.6718819390362</c:v>
                </c:pt>
                <c:pt idx="16">
                  <c:v>2813.3496555618331</c:v>
                </c:pt>
                <c:pt idx="17">
                  <c:v>2815.1509219349959</c:v>
                </c:pt>
                <c:pt idx="18">
                  <c:v>2817.075681058524</c:v>
                </c:pt>
                <c:pt idx="19">
                  <c:v>2819.1239329324185</c:v>
                </c:pt>
                <c:pt idx="20">
                  <c:v>2821.2956775566781</c:v>
                </c:pt>
                <c:pt idx="21">
                  <c:v>2823.5909149313038</c:v>
                </c:pt>
                <c:pt idx="22">
                  <c:v>2826.0096450562946</c:v>
                </c:pt>
                <c:pt idx="23">
                  <c:v>2828.5518679316519</c:v>
                </c:pt>
                <c:pt idx="24">
                  <c:v>2831.2175835573744</c:v>
                </c:pt>
                <c:pt idx="25">
                  <c:v>2834.0067919334624</c:v>
                </c:pt>
                <c:pt idx="26">
                  <c:v>2836.9194930599169</c:v>
                </c:pt>
                <c:pt idx="27">
                  <c:v>2839.9556869367366</c:v>
                </c:pt>
                <c:pt idx="28">
                  <c:v>2843.1153735639214</c:v>
                </c:pt>
                <c:pt idx="29">
                  <c:v>2846.3985529414726</c:v>
                </c:pt>
                <c:pt idx="30">
                  <c:v>2849.8052250693895</c:v>
                </c:pt>
                <c:pt idx="31">
                  <c:v>2853.3353899476724</c:v>
                </c:pt>
                <c:pt idx="32">
                  <c:v>2856.9890475763204</c:v>
                </c:pt>
                <c:pt idx="33">
                  <c:v>2860.7661979553341</c:v>
                </c:pt>
                <c:pt idx="34">
                  <c:v>2864.6668410847142</c:v>
                </c:pt>
                <c:pt idx="35">
                  <c:v>2868.6909769644594</c:v>
                </c:pt>
                <c:pt idx="36">
                  <c:v>2872.8386055945703</c:v>
                </c:pt>
                <c:pt idx="37">
                  <c:v>2877.1169944022909</c:v>
                </c:pt>
                <c:pt idx="38">
                  <c:v>2881.6781306275375</c:v>
                </c:pt>
                <c:pt idx="39">
                  <c:v>2886.5827185035923</c:v>
                </c:pt>
                <c:pt idx="40">
                  <c:v>2891.8307580304554</c:v>
                </c:pt>
                <c:pt idx="41">
                  <c:v>2897.4222492081267</c:v>
                </c:pt>
                <c:pt idx="42">
                  <c:v>2903.3571920366062</c:v>
                </c:pt>
                <c:pt idx="43">
                  <c:v>2909.6355865158939</c:v>
                </c:pt>
                <c:pt idx="44">
                  <c:v>2916.2574326459894</c:v>
                </c:pt>
                <c:pt idx="45">
                  <c:v>2923.2227304268931</c:v>
                </c:pt>
                <c:pt idx="46">
                  <c:v>2930.5314798586051</c:v>
                </c:pt>
                <c:pt idx="47">
                  <c:v>2938.1836809411252</c:v>
                </c:pt>
                <c:pt idx="48">
                  <c:v>2946.1793336744531</c:v>
                </c:pt>
                <c:pt idx="49">
                  <c:v>2954.5184380585897</c:v>
                </c:pt>
                <c:pt idx="50">
                  <c:v>2963.2009940935341</c:v>
                </c:pt>
                <c:pt idx="51">
                  <c:v>2972.2270017792866</c:v>
                </c:pt>
                <c:pt idx="52">
                  <c:v>2981.5964611158479</c:v>
                </c:pt>
                <c:pt idx="53">
                  <c:v>2991.3093721032164</c:v>
                </c:pt>
                <c:pt idx="54">
                  <c:v>3001.3657347413937</c:v>
                </c:pt>
                <c:pt idx="55">
                  <c:v>3011.7655490303791</c:v>
                </c:pt>
                <c:pt idx="56">
                  <c:v>3022.5088149701719</c:v>
                </c:pt>
                <c:pt idx="57">
                  <c:v>3033.5955325607738</c:v>
                </c:pt>
                <c:pt idx="58">
                  <c:v>3045.025701802183</c:v>
                </c:pt>
                <c:pt idx="59">
                  <c:v>3056.7993226944009</c:v>
                </c:pt>
                <c:pt idx="60">
                  <c:v>3068.9163952374265</c:v>
                </c:pt>
                <c:pt idx="61">
                  <c:v>3081.3769194312608</c:v>
                </c:pt>
                <c:pt idx="62">
                  <c:v>3094.1808952759029</c:v>
                </c:pt>
                <c:pt idx="63">
                  <c:v>3107.3283227713532</c:v>
                </c:pt>
                <c:pt idx="64">
                  <c:v>3120.8192019176117</c:v>
                </c:pt>
                <c:pt idx="65">
                  <c:v>3134.6535327146785</c:v>
                </c:pt>
                <c:pt idx="66">
                  <c:v>3148.831315162553</c:v>
                </c:pt>
                <c:pt idx="67">
                  <c:v>3163.3525492612362</c:v>
                </c:pt>
                <c:pt idx="68">
                  <c:v>3178.2172350107267</c:v>
                </c:pt>
                <c:pt idx="69">
                  <c:v>3193.4253724110263</c:v>
                </c:pt>
                <c:pt idx="70">
                  <c:v>3208.9769614621332</c:v>
                </c:pt>
                <c:pt idx="71">
                  <c:v>3224.8720021640488</c:v>
                </c:pt>
                <c:pt idx="72">
                  <c:v>3241.1104945167722</c:v>
                </c:pt>
                <c:pt idx="73">
                  <c:v>3257.6924385203038</c:v>
                </c:pt>
                <c:pt idx="74">
                  <c:v>3274.6178341746436</c:v>
                </c:pt>
                <c:pt idx="75">
                  <c:v>3291.8866814797916</c:v>
                </c:pt>
                <c:pt idx="76">
                  <c:v>3309.4989804357479</c:v>
                </c:pt>
                <c:pt idx="77">
                  <c:v>3327.4547310425123</c:v>
                </c:pt>
                <c:pt idx="78">
                  <c:v>3345.7539333000846</c:v>
                </c:pt>
                <c:pt idx="79">
                  <c:v>3364.396587208465</c:v>
                </c:pt>
                <c:pt idx="80">
                  <c:v>3383.3826927676541</c:v>
                </c:pt>
                <c:pt idx="81">
                  <c:v>3402.7122499776506</c:v>
                </c:pt>
                <c:pt idx="82">
                  <c:v>3422.3852588384557</c:v>
                </c:pt>
                <c:pt idx="83">
                  <c:v>3442.401719350069</c:v>
                </c:pt>
                <c:pt idx="84">
                  <c:v>3462.7616315124901</c:v>
                </c:pt>
                <c:pt idx="85">
                  <c:v>3483.4649953257194</c:v>
                </c:pt>
                <c:pt idx="86">
                  <c:v>3504.511810789757</c:v>
                </c:pt>
                <c:pt idx="87">
                  <c:v>3525.9020779046027</c:v>
                </c:pt>
                <c:pt idx="88">
                  <c:v>3547.6357966702562</c:v>
                </c:pt>
                <c:pt idx="89">
                  <c:v>3569.7129670867184</c:v>
                </c:pt>
                <c:pt idx="90">
                  <c:v>3592.1335891539884</c:v>
                </c:pt>
                <c:pt idx="91">
                  <c:v>3614.8976628720666</c:v>
                </c:pt>
                <c:pt idx="92">
                  <c:v>3638.005188240953</c:v>
                </c:pt>
                <c:pt idx="93">
                  <c:v>3661.4561652606476</c:v>
                </c:pt>
                <c:pt idx="94">
                  <c:v>3685.2505939311495</c:v>
                </c:pt>
                <c:pt idx="95">
                  <c:v>3709.3884742524606</c:v>
                </c:pt>
                <c:pt idx="96">
                  <c:v>3733.8698062245794</c:v>
                </c:pt>
                <c:pt idx="97">
                  <c:v>3758.6945898475069</c:v>
                </c:pt>
                <c:pt idx="98">
                  <c:v>3783.8628251212422</c:v>
                </c:pt>
                <c:pt idx="99">
                  <c:v>3809.3745120457857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6A-4383-810A-24FC591F3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-976.40263347812686</c:v>
                </c:pt>
                <c:pt idx="1">
                  <c:v>-948.54731946448271</c:v>
                </c:pt>
                <c:pt idx="2">
                  <c:v>-920.69200545083868</c:v>
                </c:pt>
                <c:pt idx="3">
                  <c:v>-892.83669143719465</c:v>
                </c:pt>
                <c:pt idx="4">
                  <c:v>-864.9813774235505</c:v>
                </c:pt>
                <c:pt idx="5">
                  <c:v>-837.12606340990646</c:v>
                </c:pt>
                <c:pt idx="6">
                  <c:v>-809.27074939626232</c:v>
                </c:pt>
                <c:pt idx="7">
                  <c:v>-781.41543538261828</c:v>
                </c:pt>
                <c:pt idx="8">
                  <c:v>-753.56012136897425</c:v>
                </c:pt>
                <c:pt idx="9">
                  <c:v>-725.7048073553301</c:v>
                </c:pt>
                <c:pt idx="10">
                  <c:v>-697.84949334168607</c:v>
                </c:pt>
                <c:pt idx="11">
                  <c:v>-669.99417932804192</c:v>
                </c:pt>
                <c:pt idx="12">
                  <c:v>-642.138865314398</c:v>
                </c:pt>
                <c:pt idx="13">
                  <c:v>-614.28355130075386</c:v>
                </c:pt>
                <c:pt idx="14">
                  <c:v>-586.42823728710971</c:v>
                </c:pt>
                <c:pt idx="15">
                  <c:v>-558.57292327346556</c:v>
                </c:pt>
                <c:pt idx="16">
                  <c:v>-530.71760925982164</c:v>
                </c:pt>
                <c:pt idx="17">
                  <c:v>-502.86229524617755</c:v>
                </c:pt>
                <c:pt idx="18">
                  <c:v>-475.00698123253346</c:v>
                </c:pt>
                <c:pt idx="19">
                  <c:v>-447.15166721888932</c:v>
                </c:pt>
                <c:pt idx="20">
                  <c:v>-419.29635320524534</c:v>
                </c:pt>
                <c:pt idx="21">
                  <c:v>-391.44103919160119</c:v>
                </c:pt>
                <c:pt idx="22">
                  <c:v>-363.5857251779571</c:v>
                </c:pt>
                <c:pt idx="23">
                  <c:v>-335.73041116431307</c:v>
                </c:pt>
                <c:pt idx="24">
                  <c:v>-307.87509715066898</c:v>
                </c:pt>
                <c:pt idx="25">
                  <c:v>-280.01978313702483</c:v>
                </c:pt>
                <c:pt idx="26">
                  <c:v>-252.16446912338085</c:v>
                </c:pt>
                <c:pt idx="27">
                  <c:v>-224.30915510973671</c:v>
                </c:pt>
                <c:pt idx="28">
                  <c:v>-196.45384109609259</c:v>
                </c:pt>
                <c:pt idx="29">
                  <c:v>-168.59852708244858</c:v>
                </c:pt>
                <c:pt idx="30">
                  <c:v>-140.74321306880447</c:v>
                </c:pt>
                <c:pt idx="31">
                  <c:v>-112.88789905516046</c:v>
                </c:pt>
                <c:pt idx="32">
                  <c:v>-85.032585041516342</c:v>
                </c:pt>
                <c:pt idx="33">
                  <c:v>-57.177271027872223</c:v>
                </c:pt>
                <c:pt idx="34">
                  <c:v>-29.321957014228218</c:v>
                </c:pt>
                <c:pt idx="35">
                  <c:v>-1.4666430005840958</c:v>
                </c:pt>
                <c:pt idx="36">
                  <c:v>26.388671013059909</c:v>
                </c:pt>
                <c:pt idx="37">
                  <c:v>54.243985026704031</c:v>
                </c:pt>
                <c:pt idx="38">
                  <c:v>82.099299040348157</c:v>
                </c:pt>
                <c:pt idx="39">
                  <c:v>109.95461305399228</c:v>
                </c:pt>
                <c:pt idx="40">
                  <c:v>137.80992706763615</c:v>
                </c:pt>
                <c:pt idx="41">
                  <c:v>165.66524108128027</c:v>
                </c:pt>
                <c:pt idx="42">
                  <c:v>193.52055509492442</c:v>
                </c:pt>
                <c:pt idx="43">
                  <c:v>221.37586910856854</c:v>
                </c:pt>
                <c:pt idx="44">
                  <c:v>249.23118312221266</c:v>
                </c:pt>
                <c:pt idx="45">
                  <c:v>277.08649713585675</c:v>
                </c:pt>
                <c:pt idx="46">
                  <c:v>304.94181114950067</c:v>
                </c:pt>
                <c:pt idx="47">
                  <c:v>332.79712516314476</c:v>
                </c:pt>
                <c:pt idx="48">
                  <c:v>360.6524391767889</c:v>
                </c:pt>
                <c:pt idx="49">
                  <c:v>388.50775319043305</c:v>
                </c:pt>
                <c:pt idx="50">
                  <c:v>416.36306720407714</c:v>
                </c:pt>
                <c:pt idx="51">
                  <c:v>444.21838121772106</c:v>
                </c:pt>
                <c:pt idx="52">
                  <c:v>472.07369523136515</c:v>
                </c:pt>
                <c:pt idx="53">
                  <c:v>499.9290092450093</c:v>
                </c:pt>
                <c:pt idx="54">
                  <c:v>527.78432325865344</c:v>
                </c:pt>
                <c:pt idx="55">
                  <c:v>555.63963727229748</c:v>
                </c:pt>
                <c:pt idx="56">
                  <c:v>583.49495128594162</c:v>
                </c:pt>
                <c:pt idx="57">
                  <c:v>611.35026529958554</c:v>
                </c:pt>
                <c:pt idx="58">
                  <c:v>639.20557931322969</c:v>
                </c:pt>
                <c:pt idx="59">
                  <c:v>667.06089332687372</c:v>
                </c:pt>
                <c:pt idx="60">
                  <c:v>694.91620734051787</c:v>
                </c:pt>
                <c:pt idx="61">
                  <c:v>722.77152135416202</c:v>
                </c:pt>
                <c:pt idx="62">
                  <c:v>750.62683536780594</c:v>
                </c:pt>
                <c:pt idx="63">
                  <c:v>778.48214938144997</c:v>
                </c:pt>
                <c:pt idx="64">
                  <c:v>806.33746339509412</c:v>
                </c:pt>
                <c:pt idx="65">
                  <c:v>834.19277740873827</c:v>
                </c:pt>
                <c:pt idx="66">
                  <c:v>862.04809142238241</c:v>
                </c:pt>
                <c:pt idx="67">
                  <c:v>889.90340543602633</c:v>
                </c:pt>
                <c:pt idx="68">
                  <c:v>917.75871944967037</c:v>
                </c:pt>
                <c:pt idx="69">
                  <c:v>945.61403346331451</c:v>
                </c:pt>
                <c:pt idx="70">
                  <c:v>973.46934747695866</c:v>
                </c:pt>
                <c:pt idx="71">
                  <c:v>1001.3246614906028</c:v>
                </c:pt>
                <c:pt idx="72">
                  <c:v>1029.1799755042466</c:v>
                </c:pt>
                <c:pt idx="73">
                  <c:v>1057.0352895178908</c:v>
                </c:pt>
                <c:pt idx="74">
                  <c:v>1084.8906035315347</c:v>
                </c:pt>
                <c:pt idx="75">
                  <c:v>1112.7459175451788</c:v>
                </c:pt>
                <c:pt idx="76">
                  <c:v>1140.601231558823</c:v>
                </c:pt>
                <c:pt idx="77">
                  <c:v>1168.4565455724671</c:v>
                </c:pt>
                <c:pt idx="78">
                  <c:v>1196.3118595861113</c:v>
                </c:pt>
                <c:pt idx="79">
                  <c:v>1224.1671735997554</c:v>
                </c:pt>
                <c:pt idx="80">
                  <c:v>1252.0224876133991</c:v>
                </c:pt>
                <c:pt idx="81">
                  <c:v>1279.8778016270433</c:v>
                </c:pt>
                <c:pt idx="82">
                  <c:v>1307.7331156406874</c:v>
                </c:pt>
                <c:pt idx="83">
                  <c:v>1335.5884296543313</c:v>
                </c:pt>
                <c:pt idx="84">
                  <c:v>1363.4437436679755</c:v>
                </c:pt>
                <c:pt idx="85">
                  <c:v>1391.2990576816196</c:v>
                </c:pt>
                <c:pt idx="86">
                  <c:v>1419.1543716952638</c:v>
                </c:pt>
                <c:pt idx="87">
                  <c:v>1447.0096857089079</c:v>
                </c:pt>
                <c:pt idx="88">
                  <c:v>1474.8649997225521</c:v>
                </c:pt>
                <c:pt idx="89">
                  <c:v>1502.7203137361962</c:v>
                </c:pt>
                <c:pt idx="90">
                  <c:v>1530.5756277498404</c:v>
                </c:pt>
                <c:pt idx="91">
                  <c:v>1558.4309417634838</c:v>
                </c:pt>
                <c:pt idx="92">
                  <c:v>1586.286255777128</c:v>
                </c:pt>
                <c:pt idx="93">
                  <c:v>1614.1415697907721</c:v>
                </c:pt>
                <c:pt idx="94">
                  <c:v>1641.9968838044163</c:v>
                </c:pt>
                <c:pt idx="95">
                  <c:v>1669.8521978180604</c:v>
                </c:pt>
                <c:pt idx="96">
                  <c:v>1697.7075118317046</c:v>
                </c:pt>
                <c:pt idx="97">
                  <c:v>1725.5628258453487</c:v>
                </c:pt>
                <c:pt idx="98">
                  <c:v>1753.4181398589928</c:v>
                </c:pt>
                <c:pt idx="99">
                  <c:v>1781.273453872637</c:v>
                </c:pt>
              </c:numCache>
            </c:numRef>
          </c:xVal>
          <c:yVal>
            <c:numRef>
              <c:f>Gap60deg!$O$68:$DJ$68</c:f>
              <c:numCache>
                <c:formatCode>General</c:formatCode>
                <c:ptCount val="100"/>
                <c:pt idx="0">
                  <c:v>-263.5898682965568</c:v>
                </c:pt>
                <c:pt idx="1">
                  <c:v>-263.5898682965568</c:v>
                </c:pt>
                <c:pt idx="2">
                  <c:v>-263.55892571099383</c:v>
                </c:pt>
                <c:pt idx="3">
                  <c:v>-263.08914278878973</c:v>
                </c:pt>
                <c:pt idx="4">
                  <c:v>-262.05391912063806</c:v>
                </c:pt>
                <c:pt idx="5">
                  <c:v>-260.45325470653887</c:v>
                </c:pt>
                <c:pt idx="6">
                  <c:v>-258.28714954649206</c:v>
                </c:pt>
                <c:pt idx="7">
                  <c:v>-255.55560364049774</c:v>
                </c:pt>
                <c:pt idx="8">
                  <c:v>-252.25861698855584</c:v>
                </c:pt>
                <c:pt idx="9">
                  <c:v>-248.39618959066632</c:v>
                </c:pt>
                <c:pt idx="10">
                  <c:v>-243.96832144682929</c:v>
                </c:pt>
                <c:pt idx="11">
                  <c:v>-238.97501255704469</c:v>
                </c:pt>
                <c:pt idx="12">
                  <c:v>-233.41626292131252</c:v>
                </c:pt>
                <c:pt idx="13">
                  <c:v>-227.29207253963284</c:v>
                </c:pt>
                <c:pt idx="14">
                  <c:v>-220.60244141200548</c:v>
                </c:pt>
                <c:pt idx="15">
                  <c:v>-213.3473695384306</c:v>
                </c:pt>
                <c:pt idx="16">
                  <c:v>-205.52685691890821</c:v>
                </c:pt>
                <c:pt idx="17">
                  <c:v>-197.14090355343819</c:v>
                </c:pt>
                <c:pt idx="18">
                  <c:v>-188.18950944202061</c:v>
                </c:pt>
                <c:pt idx="19">
                  <c:v>-178.67267458465551</c:v>
                </c:pt>
                <c:pt idx="20">
                  <c:v>-168.59039898134284</c:v>
                </c:pt>
                <c:pt idx="21">
                  <c:v>-157.94268263208255</c:v>
                </c:pt>
                <c:pt idx="22">
                  <c:v>-146.72952553687469</c:v>
                </c:pt>
                <c:pt idx="23">
                  <c:v>-134.95092769571937</c:v>
                </c:pt>
                <c:pt idx="24">
                  <c:v>-122.60688910861636</c:v>
                </c:pt>
                <c:pt idx="25">
                  <c:v>-109.69740977556584</c:v>
                </c:pt>
                <c:pt idx="26">
                  <c:v>-96.222489696567791</c:v>
                </c:pt>
                <c:pt idx="27">
                  <c:v>-82.182128871622083</c:v>
                </c:pt>
                <c:pt idx="28">
                  <c:v>-67.576327300728863</c:v>
                </c:pt>
                <c:pt idx="29">
                  <c:v>-52.405084983888131</c:v>
                </c:pt>
                <c:pt idx="30">
                  <c:v>-36.668401921099743</c:v>
                </c:pt>
                <c:pt idx="31">
                  <c:v>-20.340045340107991</c:v>
                </c:pt>
                <c:pt idx="32">
                  <c:v>-3.1439557313952591</c:v>
                </c:pt>
                <c:pt idx="33">
                  <c:v>14.993679544570803</c:v>
                </c:pt>
                <c:pt idx="34">
                  <c:v>34.072860487790116</c:v>
                </c:pt>
                <c:pt idx="35">
                  <c:v>54.093587098262837</c:v>
                </c:pt>
                <c:pt idx="36">
                  <c:v>75.055859375988803</c:v>
                </c:pt>
                <c:pt idx="37">
                  <c:v>96.959677320968183</c:v>
                </c:pt>
                <c:pt idx="38">
                  <c:v>119.8050409332009</c:v>
                </c:pt>
                <c:pt idx="39">
                  <c:v>143.59195021268692</c:v>
                </c:pt>
                <c:pt idx="40">
                  <c:v>168.32040515942612</c:v>
                </c:pt>
                <c:pt idx="41">
                  <c:v>193.99040577341879</c:v>
                </c:pt>
                <c:pt idx="42">
                  <c:v>220.60195205466488</c:v>
                </c:pt>
                <c:pt idx="43">
                  <c:v>248.15504400316422</c:v>
                </c:pt>
                <c:pt idx="44">
                  <c:v>276.64968161891687</c:v>
                </c:pt>
                <c:pt idx="45">
                  <c:v>306.08586490192295</c:v>
                </c:pt>
                <c:pt idx="46">
                  <c:v>336.46359385218199</c:v>
                </c:pt>
                <c:pt idx="47">
                  <c:v>367.78286846969473</c:v>
                </c:pt>
                <c:pt idx="48">
                  <c:v>400.04368875446073</c:v>
                </c:pt>
                <c:pt idx="49">
                  <c:v>433.24605470648004</c:v>
                </c:pt>
                <c:pt idx="50">
                  <c:v>467.38996632575271</c:v>
                </c:pt>
                <c:pt idx="51">
                  <c:v>502.47542361227846</c:v>
                </c:pt>
                <c:pt idx="52">
                  <c:v>538.50242656605781</c:v>
                </c:pt>
                <c:pt idx="53">
                  <c:v>575.47097518709052</c:v>
                </c:pt>
                <c:pt idx="54">
                  <c:v>613.38106947537642</c:v>
                </c:pt>
                <c:pt idx="55">
                  <c:v>652.23270943091586</c:v>
                </c:pt>
                <c:pt idx="56">
                  <c:v>692.0258950537085</c:v>
                </c:pt>
                <c:pt idx="57">
                  <c:v>732.76062634375421</c:v>
                </c:pt>
                <c:pt idx="58">
                  <c:v>774.43690330105346</c:v>
                </c:pt>
                <c:pt idx="59">
                  <c:v>817.05472592560614</c:v>
                </c:pt>
                <c:pt idx="60">
                  <c:v>860.614094217412</c:v>
                </c:pt>
                <c:pt idx="61">
                  <c:v>905.11500817647141</c:v>
                </c:pt>
                <c:pt idx="62">
                  <c:v>950.55746780278366</c:v>
                </c:pt>
                <c:pt idx="63">
                  <c:v>996.94147309634968</c:v>
                </c:pt>
                <c:pt idx="64">
                  <c:v>1044.267024057169</c:v>
                </c:pt>
                <c:pt idx="65">
                  <c:v>1092.5341206852415</c:v>
                </c:pt>
                <c:pt idx="66">
                  <c:v>1141.7427629805675</c:v>
                </c:pt>
                <c:pt idx="67">
                  <c:v>1191.8929509431464</c:v>
                </c:pt>
                <c:pt idx="68">
                  <c:v>1242.9846845729789</c:v>
                </c:pt>
                <c:pt idx="69">
                  <c:v>1295.0179638700649</c:v>
                </c:pt>
                <c:pt idx="70">
                  <c:v>1347.9927888344041</c:v>
                </c:pt>
                <c:pt idx="71">
                  <c:v>1401.9091594659969</c:v>
                </c:pt>
                <c:pt idx="72">
                  <c:v>1456.7670757648423</c:v>
                </c:pt>
                <c:pt idx="73">
                  <c:v>1512.5665377309415</c:v>
                </c:pt>
                <c:pt idx="74">
                  <c:v>1569.3075453642941</c:v>
                </c:pt>
                <c:pt idx="75">
                  <c:v>1626.9900986648997</c:v>
                </c:pt>
                <c:pt idx="76">
                  <c:v>1685.6141976327594</c:v>
                </c:pt>
                <c:pt idx="77">
                  <c:v>1745.1798422678719</c:v>
                </c:pt>
                <c:pt idx="78">
                  <c:v>1805.6870325702375</c:v>
                </c:pt>
                <c:pt idx="79">
                  <c:v>1867.1357685398573</c:v>
                </c:pt>
                <c:pt idx="80">
                  <c:v>1929.5260501767284</c:v>
                </c:pt>
                <c:pt idx="81">
                  <c:v>1992.8578774808548</c:v>
                </c:pt>
                <c:pt idx="82">
                  <c:v>2057.1312504522339</c:v>
                </c:pt>
                <c:pt idx="83">
                  <c:v>2122.3461690908662</c:v>
                </c:pt>
                <c:pt idx="84">
                  <c:v>2188.5026333967526</c:v>
                </c:pt>
                <c:pt idx="85">
                  <c:v>2255.6006433698917</c:v>
                </c:pt>
                <c:pt idx="86">
                  <c:v>2323.6401990102841</c:v>
                </c:pt>
                <c:pt idx="87">
                  <c:v>2392.62130031793</c:v>
                </c:pt>
                <c:pt idx="88">
                  <c:v>2462.5439472928297</c:v>
                </c:pt>
                <c:pt idx="89">
                  <c:v>2533.408139934982</c:v>
                </c:pt>
                <c:pt idx="90">
                  <c:v>2605.2138782443881</c:v>
                </c:pt>
                <c:pt idx="91">
                  <c:v>2677.9611622210459</c:v>
                </c:pt>
                <c:pt idx="92">
                  <c:v>2751.6499918649583</c:v>
                </c:pt>
                <c:pt idx="93">
                  <c:v>2826.2803671761244</c:v>
                </c:pt>
                <c:pt idx="94">
                  <c:v>2901.8522881545432</c:v>
                </c:pt>
                <c:pt idx="95">
                  <c:v>2978.3657548002161</c:v>
                </c:pt>
                <c:pt idx="96">
                  <c:v>3055.8207671131422</c:v>
                </c:pt>
                <c:pt idx="97">
                  <c:v>3134.2173250933211</c:v>
                </c:pt>
                <c:pt idx="98">
                  <c:v>3213.5554287407535</c:v>
                </c:pt>
                <c:pt idx="99">
                  <c:v>3293.8350780554397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26-4086-A562-0B70D5CB2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-976.40263347812686</c:v>
                </c:pt>
                <c:pt idx="1">
                  <c:v>-948.54731946448271</c:v>
                </c:pt>
                <c:pt idx="2">
                  <c:v>-920.69200545083868</c:v>
                </c:pt>
                <c:pt idx="3">
                  <c:v>-892.83669143719465</c:v>
                </c:pt>
                <c:pt idx="4">
                  <c:v>-864.9813774235505</c:v>
                </c:pt>
                <c:pt idx="5">
                  <c:v>-837.12606340990646</c:v>
                </c:pt>
                <c:pt idx="6">
                  <c:v>-809.27074939626232</c:v>
                </c:pt>
                <c:pt idx="7">
                  <c:v>-781.41543538261828</c:v>
                </c:pt>
                <c:pt idx="8">
                  <c:v>-753.56012136897425</c:v>
                </c:pt>
                <c:pt idx="9">
                  <c:v>-725.7048073553301</c:v>
                </c:pt>
                <c:pt idx="10">
                  <c:v>-697.84949334168607</c:v>
                </c:pt>
                <c:pt idx="11">
                  <c:v>-669.99417932804192</c:v>
                </c:pt>
                <c:pt idx="12">
                  <c:v>-642.138865314398</c:v>
                </c:pt>
                <c:pt idx="13">
                  <c:v>-614.28355130075386</c:v>
                </c:pt>
                <c:pt idx="14">
                  <c:v>-586.42823728710971</c:v>
                </c:pt>
                <c:pt idx="15">
                  <c:v>-558.57292327346556</c:v>
                </c:pt>
                <c:pt idx="16">
                  <c:v>-530.71760925982164</c:v>
                </c:pt>
                <c:pt idx="17">
                  <c:v>-502.86229524617755</c:v>
                </c:pt>
                <c:pt idx="18">
                  <c:v>-475.00698123253346</c:v>
                </c:pt>
                <c:pt idx="19">
                  <c:v>-447.15166721888932</c:v>
                </c:pt>
                <c:pt idx="20">
                  <c:v>-419.29635320524534</c:v>
                </c:pt>
                <c:pt idx="21">
                  <c:v>-391.44103919160119</c:v>
                </c:pt>
                <c:pt idx="22">
                  <c:v>-363.5857251779571</c:v>
                </c:pt>
                <c:pt idx="23">
                  <c:v>-335.73041116431307</c:v>
                </c:pt>
                <c:pt idx="24">
                  <c:v>-307.87509715066898</c:v>
                </c:pt>
                <c:pt idx="25">
                  <c:v>-280.01978313702483</c:v>
                </c:pt>
                <c:pt idx="26">
                  <c:v>-252.16446912338085</c:v>
                </c:pt>
                <c:pt idx="27">
                  <c:v>-224.30915510973671</c:v>
                </c:pt>
                <c:pt idx="28">
                  <c:v>-196.45384109609259</c:v>
                </c:pt>
                <c:pt idx="29">
                  <c:v>-168.59852708244858</c:v>
                </c:pt>
                <c:pt idx="30">
                  <c:v>-140.74321306880447</c:v>
                </c:pt>
                <c:pt idx="31">
                  <c:v>-112.88789905516046</c:v>
                </c:pt>
                <c:pt idx="32">
                  <c:v>-85.032585041516342</c:v>
                </c:pt>
                <c:pt idx="33">
                  <c:v>-57.177271027872223</c:v>
                </c:pt>
                <c:pt idx="34">
                  <c:v>-29.321957014228218</c:v>
                </c:pt>
                <c:pt idx="35">
                  <c:v>-1.4666430005840958</c:v>
                </c:pt>
                <c:pt idx="36">
                  <c:v>26.388671013059909</c:v>
                </c:pt>
                <c:pt idx="37">
                  <c:v>54.243985026704031</c:v>
                </c:pt>
                <c:pt idx="38">
                  <c:v>82.099299040348157</c:v>
                </c:pt>
                <c:pt idx="39">
                  <c:v>109.95461305399228</c:v>
                </c:pt>
                <c:pt idx="40">
                  <c:v>137.80992706763615</c:v>
                </c:pt>
                <c:pt idx="41">
                  <c:v>165.66524108128027</c:v>
                </c:pt>
                <c:pt idx="42">
                  <c:v>193.52055509492442</c:v>
                </c:pt>
                <c:pt idx="43">
                  <c:v>221.37586910856854</c:v>
                </c:pt>
                <c:pt idx="44">
                  <c:v>249.23118312221266</c:v>
                </c:pt>
                <c:pt idx="45">
                  <c:v>277.08649713585675</c:v>
                </c:pt>
                <c:pt idx="46">
                  <c:v>304.94181114950067</c:v>
                </c:pt>
                <c:pt idx="47">
                  <c:v>332.79712516314476</c:v>
                </c:pt>
                <c:pt idx="48">
                  <c:v>360.6524391767889</c:v>
                </c:pt>
                <c:pt idx="49">
                  <c:v>388.50775319043305</c:v>
                </c:pt>
                <c:pt idx="50">
                  <c:v>416.36306720407714</c:v>
                </c:pt>
                <c:pt idx="51">
                  <c:v>444.21838121772106</c:v>
                </c:pt>
                <c:pt idx="52">
                  <c:v>472.07369523136515</c:v>
                </c:pt>
                <c:pt idx="53">
                  <c:v>499.9290092450093</c:v>
                </c:pt>
                <c:pt idx="54">
                  <c:v>527.78432325865344</c:v>
                </c:pt>
                <c:pt idx="55">
                  <c:v>555.63963727229748</c:v>
                </c:pt>
                <c:pt idx="56">
                  <c:v>583.49495128594162</c:v>
                </c:pt>
                <c:pt idx="57">
                  <c:v>611.35026529958554</c:v>
                </c:pt>
                <c:pt idx="58">
                  <c:v>639.20557931322969</c:v>
                </c:pt>
                <c:pt idx="59">
                  <c:v>667.06089332687372</c:v>
                </c:pt>
                <c:pt idx="60">
                  <c:v>694.91620734051787</c:v>
                </c:pt>
                <c:pt idx="61">
                  <c:v>722.77152135416202</c:v>
                </c:pt>
                <c:pt idx="62">
                  <c:v>750.62683536780594</c:v>
                </c:pt>
                <c:pt idx="63">
                  <c:v>778.48214938144997</c:v>
                </c:pt>
                <c:pt idx="64">
                  <c:v>806.33746339509412</c:v>
                </c:pt>
                <c:pt idx="65">
                  <c:v>834.19277740873827</c:v>
                </c:pt>
                <c:pt idx="66">
                  <c:v>862.04809142238241</c:v>
                </c:pt>
                <c:pt idx="67">
                  <c:v>889.90340543602633</c:v>
                </c:pt>
                <c:pt idx="68">
                  <c:v>917.75871944967037</c:v>
                </c:pt>
                <c:pt idx="69">
                  <c:v>945.61403346331451</c:v>
                </c:pt>
                <c:pt idx="70">
                  <c:v>973.46934747695866</c:v>
                </c:pt>
                <c:pt idx="71">
                  <c:v>1001.3246614906028</c:v>
                </c:pt>
                <c:pt idx="72">
                  <c:v>1029.1799755042466</c:v>
                </c:pt>
                <c:pt idx="73">
                  <c:v>1057.0352895178908</c:v>
                </c:pt>
                <c:pt idx="74">
                  <c:v>1084.8906035315347</c:v>
                </c:pt>
                <c:pt idx="75">
                  <c:v>1112.7459175451788</c:v>
                </c:pt>
                <c:pt idx="76">
                  <c:v>1140.601231558823</c:v>
                </c:pt>
                <c:pt idx="77">
                  <c:v>1168.4565455724671</c:v>
                </c:pt>
                <c:pt idx="78">
                  <c:v>1196.3118595861113</c:v>
                </c:pt>
                <c:pt idx="79">
                  <c:v>1224.1671735997554</c:v>
                </c:pt>
                <c:pt idx="80">
                  <c:v>1252.0224876133991</c:v>
                </c:pt>
                <c:pt idx="81">
                  <c:v>1279.8778016270433</c:v>
                </c:pt>
                <c:pt idx="82">
                  <c:v>1307.7331156406874</c:v>
                </c:pt>
                <c:pt idx="83">
                  <c:v>1335.5884296543313</c:v>
                </c:pt>
                <c:pt idx="84">
                  <c:v>1363.4437436679755</c:v>
                </c:pt>
                <c:pt idx="85">
                  <c:v>1391.2990576816196</c:v>
                </c:pt>
                <c:pt idx="86">
                  <c:v>1419.1543716952638</c:v>
                </c:pt>
                <c:pt idx="87">
                  <c:v>1447.0096857089079</c:v>
                </c:pt>
                <c:pt idx="88">
                  <c:v>1474.8649997225521</c:v>
                </c:pt>
                <c:pt idx="89">
                  <c:v>1502.7203137361962</c:v>
                </c:pt>
                <c:pt idx="90">
                  <c:v>1530.5756277498404</c:v>
                </c:pt>
                <c:pt idx="91">
                  <c:v>1558.4309417634838</c:v>
                </c:pt>
                <c:pt idx="92">
                  <c:v>1586.286255777128</c:v>
                </c:pt>
                <c:pt idx="93">
                  <c:v>1614.1415697907721</c:v>
                </c:pt>
                <c:pt idx="94">
                  <c:v>1641.9968838044163</c:v>
                </c:pt>
                <c:pt idx="95">
                  <c:v>1669.8521978180604</c:v>
                </c:pt>
                <c:pt idx="96">
                  <c:v>1697.7075118317046</c:v>
                </c:pt>
                <c:pt idx="97">
                  <c:v>1725.5628258453487</c:v>
                </c:pt>
                <c:pt idx="98">
                  <c:v>1753.4181398589928</c:v>
                </c:pt>
                <c:pt idx="99">
                  <c:v>1781.273453872637</c:v>
                </c:pt>
              </c:numCache>
            </c:numRef>
          </c:xVal>
          <c:yVal>
            <c:numRef>
              <c:f>Gap60deg!$O$67:$DJ$67</c:f>
              <c:numCache>
                <c:formatCode>General</c:formatCode>
                <c:ptCount val="100"/>
                <c:pt idx="0">
                  <c:v>2827.7409927913959</c:v>
                </c:pt>
                <c:pt idx="1">
                  <c:v>2827.7409927913959</c:v>
                </c:pt>
                <c:pt idx="2">
                  <c:v>2827.7472916340303</c:v>
                </c:pt>
                <c:pt idx="3">
                  <c:v>2827.8429232254184</c:v>
                </c:pt>
                <c:pt idx="4">
                  <c:v>2828.053659040087</c:v>
                </c:pt>
                <c:pt idx="5">
                  <c:v>2828.3794990780352</c:v>
                </c:pt>
                <c:pt idx="6">
                  <c:v>2828.8204433392643</c:v>
                </c:pt>
                <c:pt idx="7">
                  <c:v>2829.3764918237739</c:v>
                </c:pt>
                <c:pt idx="8">
                  <c:v>2830.0476445315639</c:v>
                </c:pt>
                <c:pt idx="9">
                  <c:v>2830.8339014626335</c:v>
                </c:pt>
                <c:pt idx="10">
                  <c:v>2831.7352626169841</c:v>
                </c:pt>
                <c:pt idx="11">
                  <c:v>2832.7517279946146</c:v>
                </c:pt>
                <c:pt idx="12">
                  <c:v>2833.8832975955256</c:v>
                </c:pt>
                <c:pt idx="13">
                  <c:v>2835.1299714197171</c:v>
                </c:pt>
                <c:pt idx="14">
                  <c:v>2836.4917494671886</c:v>
                </c:pt>
                <c:pt idx="15">
                  <c:v>2837.9686317379405</c:v>
                </c:pt>
                <c:pt idx="16">
                  <c:v>2839.5606182319725</c:v>
                </c:pt>
                <c:pt idx="17">
                  <c:v>2841.2677089492854</c:v>
                </c:pt>
                <c:pt idx="18">
                  <c:v>2843.0899038898783</c:v>
                </c:pt>
                <c:pt idx="19">
                  <c:v>2845.0272030537517</c:v>
                </c:pt>
                <c:pt idx="20">
                  <c:v>2847.0796064409051</c:v>
                </c:pt>
                <c:pt idx="21">
                  <c:v>2849.2471140513389</c:v>
                </c:pt>
                <c:pt idx="22">
                  <c:v>2851.5297258850533</c:v>
                </c:pt>
                <c:pt idx="23">
                  <c:v>2853.9274419420472</c:v>
                </c:pt>
                <c:pt idx="24">
                  <c:v>2856.440262222322</c:v>
                </c:pt>
                <c:pt idx="25">
                  <c:v>2859.0681867258772</c:v>
                </c:pt>
                <c:pt idx="26">
                  <c:v>2861.8112154527125</c:v>
                </c:pt>
                <c:pt idx="27">
                  <c:v>2864.6693484028283</c:v>
                </c:pt>
                <c:pt idx="28">
                  <c:v>2867.6425855762245</c:v>
                </c:pt>
                <c:pt idx="29">
                  <c:v>2870.7309269729008</c:v>
                </c:pt>
                <c:pt idx="30">
                  <c:v>2873.9343725928575</c:v>
                </c:pt>
                <c:pt idx="31">
                  <c:v>2877.265978274027</c:v>
                </c:pt>
                <c:pt idx="32">
                  <c:v>2880.8631365947031</c:v>
                </c:pt>
                <c:pt idx="33">
                  <c:v>2884.7625835067593</c:v>
                </c:pt>
                <c:pt idx="34">
                  <c:v>2888.9643190101951</c:v>
                </c:pt>
                <c:pt idx="35">
                  <c:v>2893.4683431050116</c:v>
                </c:pt>
                <c:pt idx="36">
                  <c:v>2898.2746557912087</c:v>
                </c:pt>
                <c:pt idx="37">
                  <c:v>2903.3832570687855</c:v>
                </c:pt>
                <c:pt idx="38">
                  <c:v>2908.7941469377429</c:v>
                </c:pt>
                <c:pt idx="39">
                  <c:v>2914.50732539808</c:v>
                </c:pt>
                <c:pt idx="40">
                  <c:v>2920.5227924497976</c:v>
                </c:pt>
                <c:pt idx="41">
                  <c:v>2926.8405480928955</c:v>
                </c:pt>
                <c:pt idx="42">
                  <c:v>2933.4605923273734</c:v>
                </c:pt>
                <c:pt idx="43">
                  <c:v>2940.3829251532316</c:v>
                </c:pt>
                <c:pt idx="44">
                  <c:v>2947.6075465704707</c:v>
                </c:pt>
                <c:pt idx="45">
                  <c:v>2955.1344565790891</c:v>
                </c:pt>
                <c:pt idx="46">
                  <c:v>2962.9636551790882</c:v>
                </c:pt>
                <c:pt idx="47">
                  <c:v>2971.0951423704669</c:v>
                </c:pt>
                <c:pt idx="48">
                  <c:v>2979.5289181532266</c:v>
                </c:pt>
                <c:pt idx="49">
                  <c:v>2988.2649825273666</c:v>
                </c:pt>
                <c:pt idx="50">
                  <c:v>2997.3033354928862</c:v>
                </c:pt>
                <c:pt idx="51">
                  <c:v>3006.6439770497859</c:v>
                </c:pt>
                <c:pt idx="52">
                  <c:v>3016.2869071980663</c:v>
                </c:pt>
                <c:pt idx="53">
                  <c:v>3026.2321259377272</c:v>
                </c:pt>
                <c:pt idx="54">
                  <c:v>3036.4796332687679</c:v>
                </c:pt>
                <c:pt idx="55">
                  <c:v>3047.0294291911887</c:v>
                </c:pt>
                <c:pt idx="56">
                  <c:v>3057.8815137049901</c:v>
                </c:pt>
                <c:pt idx="57">
                  <c:v>3069.0358868101716</c:v>
                </c:pt>
                <c:pt idx="58">
                  <c:v>3080.4925485067329</c:v>
                </c:pt>
                <c:pt idx="59">
                  <c:v>3092.2514987946747</c:v>
                </c:pt>
                <c:pt idx="60">
                  <c:v>3104.3127376739972</c:v>
                </c:pt>
                <c:pt idx="61">
                  <c:v>3116.6762651446993</c:v>
                </c:pt>
                <c:pt idx="62">
                  <c:v>3129.3420812067816</c:v>
                </c:pt>
                <c:pt idx="63">
                  <c:v>3142.3101858602445</c:v>
                </c:pt>
                <c:pt idx="64">
                  <c:v>3155.5805791050875</c:v>
                </c:pt>
                <c:pt idx="65">
                  <c:v>3169.1532609413107</c:v>
                </c:pt>
                <c:pt idx="66">
                  <c:v>3183.028231368914</c:v>
                </c:pt>
                <c:pt idx="67">
                  <c:v>3197.205490387898</c:v>
                </c:pt>
                <c:pt idx="68">
                  <c:v>3211.685037998262</c:v>
                </c:pt>
                <c:pt idx="69">
                  <c:v>3226.4668742000058</c:v>
                </c:pt>
                <c:pt idx="70">
                  <c:v>3241.5509989931297</c:v>
                </c:pt>
                <c:pt idx="71">
                  <c:v>3256.9374123776347</c:v>
                </c:pt>
                <c:pt idx="72">
                  <c:v>3272.6261143535194</c:v>
                </c:pt>
                <c:pt idx="73">
                  <c:v>3288.6171049207842</c:v>
                </c:pt>
                <c:pt idx="74">
                  <c:v>3304.9103840794292</c:v>
                </c:pt>
                <c:pt idx="75">
                  <c:v>3321.5059518294547</c:v>
                </c:pt>
                <c:pt idx="76">
                  <c:v>3338.4038081708604</c:v>
                </c:pt>
                <c:pt idx="77">
                  <c:v>3355.6039531036467</c:v>
                </c:pt>
                <c:pt idx="78">
                  <c:v>3373.1063866278123</c:v>
                </c:pt>
                <c:pt idx="79">
                  <c:v>3390.9111087433589</c:v>
                </c:pt>
                <c:pt idx="80">
                  <c:v>3409.0181194502852</c:v>
                </c:pt>
                <c:pt idx="81">
                  <c:v>3427.4274187485921</c:v>
                </c:pt>
                <c:pt idx="82">
                  <c:v>3446.1390066382792</c:v>
                </c:pt>
                <c:pt idx="83">
                  <c:v>3465.1528831193459</c:v>
                </c:pt>
                <c:pt idx="84">
                  <c:v>3484.4690481917937</c:v>
                </c:pt>
                <c:pt idx="85">
                  <c:v>3504.0875018556212</c:v>
                </c:pt>
                <c:pt idx="86">
                  <c:v>3524.0082441108293</c:v>
                </c:pt>
                <c:pt idx="87">
                  <c:v>3544.2312749574176</c:v>
                </c:pt>
                <c:pt idx="88">
                  <c:v>3564.7565943953855</c:v>
                </c:pt>
                <c:pt idx="89">
                  <c:v>3585.5842024247345</c:v>
                </c:pt>
                <c:pt idx="90">
                  <c:v>3606.7140990454627</c:v>
                </c:pt>
                <c:pt idx="91">
                  <c:v>3628.1462842575716</c:v>
                </c:pt>
                <c:pt idx="92">
                  <c:v>3649.880758061061</c:v>
                </c:pt>
                <c:pt idx="93">
                  <c:v>3671.9175204559306</c:v>
                </c:pt>
                <c:pt idx="94">
                  <c:v>3694.2565714421803</c:v>
                </c:pt>
                <c:pt idx="95">
                  <c:v>3716.8979110198102</c:v>
                </c:pt>
                <c:pt idx="96">
                  <c:v>3739.8415391888202</c:v>
                </c:pt>
                <c:pt idx="97">
                  <c:v>3763.0874559492104</c:v>
                </c:pt>
                <c:pt idx="98">
                  <c:v>3786.6356613009812</c:v>
                </c:pt>
                <c:pt idx="99">
                  <c:v>3810.4861552441321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15-497C-9427-4C1032BD2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-877.76138096978389</c:v>
                </c:pt>
                <c:pt idx="1">
                  <c:v>-851.97614208130824</c:v>
                </c:pt>
                <c:pt idx="2">
                  <c:v>-826.19090319283259</c:v>
                </c:pt>
                <c:pt idx="3">
                  <c:v>-800.40566430435706</c:v>
                </c:pt>
                <c:pt idx="4">
                  <c:v>-774.62042541588141</c:v>
                </c:pt>
                <c:pt idx="5">
                  <c:v>-748.83518652740588</c:v>
                </c:pt>
                <c:pt idx="6">
                  <c:v>-723.04994763893012</c:v>
                </c:pt>
                <c:pt idx="7">
                  <c:v>-697.26470875045459</c:v>
                </c:pt>
                <c:pt idx="8">
                  <c:v>-671.47946986197894</c:v>
                </c:pt>
                <c:pt idx="9">
                  <c:v>-645.69423097350329</c:v>
                </c:pt>
                <c:pt idx="10">
                  <c:v>-619.90899208502776</c:v>
                </c:pt>
                <c:pt idx="11">
                  <c:v>-594.12375319655212</c:v>
                </c:pt>
                <c:pt idx="12">
                  <c:v>-568.33851430807647</c:v>
                </c:pt>
                <c:pt idx="13">
                  <c:v>-542.55327541960094</c:v>
                </c:pt>
                <c:pt idx="14">
                  <c:v>-516.76803653112529</c:v>
                </c:pt>
                <c:pt idx="15">
                  <c:v>-490.9827976426497</c:v>
                </c:pt>
                <c:pt idx="16">
                  <c:v>-465.19755875417405</c:v>
                </c:pt>
                <c:pt idx="17">
                  <c:v>-439.41231986569841</c:v>
                </c:pt>
                <c:pt idx="18">
                  <c:v>-413.62708097722282</c:v>
                </c:pt>
                <c:pt idx="19">
                  <c:v>-387.84184208874717</c:v>
                </c:pt>
                <c:pt idx="20">
                  <c:v>-362.05660320027158</c:v>
                </c:pt>
                <c:pt idx="21">
                  <c:v>-336.27136431179594</c:v>
                </c:pt>
                <c:pt idx="22">
                  <c:v>-310.48612542332035</c:v>
                </c:pt>
                <c:pt idx="23">
                  <c:v>-284.70088653484476</c:v>
                </c:pt>
                <c:pt idx="24">
                  <c:v>-258.91564764636905</c:v>
                </c:pt>
                <c:pt idx="25">
                  <c:v>-233.13040875789349</c:v>
                </c:pt>
                <c:pt idx="26">
                  <c:v>-207.3451698694179</c:v>
                </c:pt>
                <c:pt idx="27">
                  <c:v>-181.55993098094234</c:v>
                </c:pt>
                <c:pt idx="28">
                  <c:v>-155.77469209246664</c:v>
                </c:pt>
                <c:pt idx="29">
                  <c:v>-129.98945320399105</c:v>
                </c:pt>
                <c:pt idx="30">
                  <c:v>-104.20421431551547</c:v>
                </c:pt>
                <c:pt idx="31">
                  <c:v>-78.418975427039783</c:v>
                </c:pt>
                <c:pt idx="32">
                  <c:v>-52.633736538564207</c:v>
                </c:pt>
                <c:pt idx="33">
                  <c:v>-26.848497650088625</c:v>
                </c:pt>
                <c:pt idx="34">
                  <c:v>-1.0632587616129312</c:v>
                </c:pt>
                <c:pt idx="35">
                  <c:v>24.721980126862647</c:v>
                </c:pt>
                <c:pt idx="36">
                  <c:v>50.507219015338222</c:v>
                </c:pt>
                <c:pt idx="37">
                  <c:v>76.292457903813926</c:v>
                </c:pt>
                <c:pt idx="38">
                  <c:v>102.0776967922895</c:v>
                </c:pt>
                <c:pt idx="39">
                  <c:v>127.86293568076508</c:v>
                </c:pt>
                <c:pt idx="40">
                  <c:v>153.64817456924067</c:v>
                </c:pt>
                <c:pt idx="41">
                  <c:v>179.43341345771623</c:v>
                </c:pt>
                <c:pt idx="42">
                  <c:v>205.21865234619204</c:v>
                </c:pt>
                <c:pt idx="43">
                  <c:v>231.00389123466763</c:v>
                </c:pt>
                <c:pt idx="44">
                  <c:v>256.7891301231432</c:v>
                </c:pt>
                <c:pt idx="45">
                  <c:v>282.57436901161878</c:v>
                </c:pt>
                <c:pt idx="46">
                  <c:v>308.35960790009437</c:v>
                </c:pt>
                <c:pt idx="47">
                  <c:v>334.14484678856991</c:v>
                </c:pt>
                <c:pt idx="48">
                  <c:v>359.93008567704572</c:v>
                </c:pt>
                <c:pt idx="49">
                  <c:v>385.71532456552131</c:v>
                </c:pt>
                <c:pt idx="50">
                  <c:v>411.5005634539969</c:v>
                </c:pt>
                <c:pt idx="51">
                  <c:v>437.28580234247249</c:v>
                </c:pt>
                <c:pt idx="52">
                  <c:v>463.07104123094808</c:v>
                </c:pt>
                <c:pt idx="53">
                  <c:v>488.85628011942362</c:v>
                </c:pt>
                <c:pt idx="54">
                  <c:v>514.64151900789921</c:v>
                </c:pt>
                <c:pt idx="55">
                  <c:v>540.42675789637508</c:v>
                </c:pt>
                <c:pt idx="56">
                  <c:v>566.21199678485061</c:v>
                </c:pt>
                <c:pt idx="57">
                  <c:v>591.99723567332614</c:v>
                </c:pt>
                <c:pt idx="58">
                  <c:v>617.78247456180179</c:v>
                </c:pt>
                <c:pt idx="59">
                  <c:v>643.56771345027732</c:v>
                </c:pt>
                <c:pt idx="60">
                  <c:v>669.35295233875297</c:v>
                </c:pt>
                <c:pt idx="61">
                  <c:v>695.13819122722873</c:v>
                </c:pt>
                <c:pt idx="62">
                  <c:v>720.92343011570426</c:v>
                </c:pt>
                <c:pt idx="63">
                  <c:v>746.70866900417991</c:v>
                </c:pt>
                <c:pt idx="64">
                  <c:v>772.49390789265544</c:v>
                </c:pt>
                <c:pt idx="65">
                  <c:v>798.27914678113109</c:v>
                </c:pt>
                <c:pt idx="66">
                  <c:v>824.06438566960662</c:v>
                </c:pt>
                <c:pt idx="67">
                  <c:v>849.84962455808216</c:v>
                </c:pt>
                <c:pt idx="68">
                  <c:v>875.63486344655803</c:v>
                </c:pt>
                <c:pt idx="69">
                  <c:v>901.42010233503356</c:v>
                </c:pt>
                <c:pt idx="70">
                  <c:v>927.20534122350921</c:v>
                </c:pt>
                <c:pt idx="71">
                  <c:v>952.99058011198474</c:v>
                </c:pt>
                <c:pt idx="72">
                  <c:v>978.77581900046027</c:v>
                </c:pt>
                <c:pt idx="73">
                  <c:v>1004.5610578889359</c:v>
                </c:pt>
                <c:pt idx="74">
                  <c:v>1030.3462967774117</c:v>
                </c:pt>
                <c:pt idx="75">
                  <c:v>1056.1315356658874</c:v>
                </c:pt>
                <c:pt idx="76">
                  <c:v>1081.916774554363</c:v>
                </c:pt>
                <c:pt idx="77">
                  <c:v>1107.7020134428385</c:v>
                </c:pt>
                <c:pt idx="78">
                  <c:v>1133.487252331314</c:v>
                </c:pt>
                <c:pt idx="79">
                  <c:v>1159.2724912197898</c:v>
                </c:pt>
                <c:pt idx="80">
                  <c:v>1185.0577301082653</c:v>
                </c:pt>
                <c:pt idx="81">
                  <c:v>1210.8429689967409</c:v>
                </c:pt>
                <c:pt idx="82">
                  <c:v>1236.6282078852164</c:v>
                </c:pt>
                <c:pt idx="83">
                  <c:v>1262.4134467736919</c:v>
                </c:pt>
                <c:pt idx="84">
                  <c:v>1288.1986856621681</c:v>
                </c:pt>
                <c:pt idx="85">
                  <c:v>1313.9839245506437</c:v>
                </c:pt>
                <c:pt idx="86">
                  <c:v>1339.7691634391192</c:v>
                </c:pt>
                <c:pt idx="87">
                  <c:v>1365.5544023275947</c:v>
                </c:pt>
                <c:pt idx="88">
                  <c:v>1391.3396412160705</c:v>
                </c:pt>
                <c:pt idx="89">
                  <c:v>1417.124880104546</c:v>
                </c:pt>
                <c:pt idx="90">
                  <c:v>1442.9101189930216</c:v>
                </c:pt>
                <c:pt idx="91">
                  <c:v>1468.6953578814971</c:v>
                </c:pt>
                <c:pt idx="92">
                  <c:v>1494.4805967699726</c:v>
                </c:pt>
                <c:pt idx="93">
                  <c:v>1520.2658356584484</c:v>
                </c:pt>
                <c:pt idx="94">
                  <c:v>1546.0510745469239</c:v>
                </c:pt>
                <c:pt idx="95">
                  <c:v>1571.8363134353995</c:v>
                </c:pt>
                <c:pt idx="96">
                  <c:v>1597.6215523238754</c:v>
                </c:pt>
                <c:pt idx="97">
                  <c:v>1623.406791212351</c:v>
                </c:pt>
                <c:pt idx="98">
                  <c:v>1649.1920301008267</c:v>
                </c:pt>
                <c:pt idx="99">
                  <c:v>1674.9772689893023</c:v>
                </c:pt>
              </c:numCache>
            </c:numRef>
          </c:xVal>
          <c:yVal>
            <c:numRef>
              <c:f>Gap90deg!$O$68:$DJ$68</c:f>
              <c:numCache>
                <c:formatCode>General</c:formatCode>
                <c:ptCount val="100"/>
                <c:pt idx="0">
                  <c:v>-246.28088167824194</c:v>
                </c:pt>
                <c:pt idx="1">
                  <c:v>-246.28088167824194</c:v>
                </c:pt>
                <c:pt idx="2">
                  <c:v>-246.24027263712406</c:v>
                </c:pt>
                <c:pt idx="3">
                  <c:v>-245.74324181876682</c:v>
                </c:pt>
                <c:pt idx="4">
                  <c:v>-244.68075349104845</c:v>
                </c:pt>
                <c:pt idx="5">
                  <c:v>-243.0528076539689</c:v>
                </c:pt>
                <c:pt idx="6">
                  <c:v>-240.85940430752828</c:v>
                </c:pt>
                <c:pt idx="7">
                  <c:v>-238.10054345172648</c:v>
                </c:pt>
                <c:pt idx="8">
                  <c:v>-234.77622508656356</c:v>
                </c:pt>
                <c:pt idx="9">
                  <c:v>-230.88644921203945</c:v>
                </c:pt>
                <c:pt idx="10">
                  <c:v>-226.43121582815428</c:v>
                </c:pt>
                <c:pt idx="11">
                  <c:v>-221.41052493490798</c:v>
                </c:pt>
                <c:pt idx="12">
                  <c:v>-215.82437653230051</c:v>
                </c:pt>
                <c:pt idx="13">
                  <c:v>-209.6727706203319</c:v>
                </c:pt>
                <c:pt idx="14">
                  <c:v>-202.95570719900212</c:v>
                </c:pt>
                <c:pt idx="15">
                  <c:v>-195.67318626831127</c:v>
                </c:pt>
                <c:pt idx="16">
                  <c:v>-187.82520782825924</c:v>
                </c:pt>
                <c:pt idx="17">
                  <c:v>-179.41177187884608</c:v>
                </c:pt>
                <c:pt idx="18">
                  <c:v>-170.4328784200718</c:v>
                </c:pt>
                <c:pt idx="19">
                  <c:v>-160.8885274519364</c:v>
                </c:pt>
                <c:pt idx="20">
                  <c:v>-150.77871897443981</c:v>
                </c:pt>
                <c:pt idx="21">
                  <c:v>-140.1034529875821</c:v>
                </c:pt>
                <c:pt idx="22">
                  <c:v>-128.86272949136327</c:v>
                </c:pt>
                <c:pt idx="23">
                  <c:v>-117.05654848578335</c:v>
                </c:pt>
                <c:pt idx="24">
                  <c:v>-104.68490997084221</c:v>
                </c:pt>
                <c:pt idx="25">
                  <c:v>-91.747813946539978</c:v>
                </c:pt>
                <c:pt idx="26">
                  <c:v>-78.245260412876647</c:v>
                </c:pt>
                <c:pt idx="27">
                  <c:v>-64.177249369852163</c:v>
                </c:pt>
                <c:pt idx="28">
                  <c:v>-49.54378081746647</c:v>
                </c:pt>
                <c:pt idx="29">
                  <c:v>-34.344854755719709</c:v>
                </c:pt>
                <c:pt idx="30">
                  <c:v>-18.480254313760305</c:v>
                </c:pt>
                <c:pt idx="31">
                  <c:v>-1.6967584484886302</c:v>
                </c:pt>
                <c:pt idx="32">
                  <c:v>16.017972622763331</c:v>
                </c:pt>
                <c:pt idx="33">
                  <c:v>34.663938899995642</c:v>
                </c:pt>
                <c:pt idx="34">
                  <c:v>54.241140383208382</c:v>
                </c:pt>
                <c:pt idx="35">
                  <c:v>74.749577072401394</c:v>
                </c:pt>
                <c:pt idx="36">
                  <c:v>96.189248967574756</c:v>
                </c:pt>
                <c:pt idx="37">
                  <c:v>118.56015606872856</c:v>
                </c:pt>
                <c:pt idx="38">
                  <c:v>141.86229837586262</c:v>
                </c:pt>
                <c:pt idx="39">
                  <c:v>166.09567588897704</c:v>
                </c:pt>
                <c:pt idx="40">
                  <c:v>191.26028860807179</c:v>
                </c:pt>
                <c:pt idx="41">
                  <c:v>217.35613653314689</c:v>
                </c:pt>
                <c:pt idx="42">
                  <c:v>244.38321966420261</c:v>
                </c:pt>
                <c:pt idx="43">
                  <c:v>272.34153800123846</c:v>
                </c:pt>
                <c:pt idx="44">
                  <c:v>301.23109154425458</c:v>
                </c:pt>
                <c:pt idx="45">
                  <c:v>331.05188029325114</c:v>
                </c:pt>
                <c:pt idx="46">
                  <c:v>361.80390424822804</c:v>
                </c:pt>
                <c:pt idx="47">
                  <c:v>393.4871634091852</c:v>
                </c:pt>
                <c:pt idx="48">
                  <c:v>426.10165777612315</c:v>
                </c:pt>
                <c:pt idx="49">
                  <c:v>459.64738734904103</c:v>
                </c:pt>
                <c:pt idx="50">
                  <c:v>494.12435212793929</c:v>
                </c:pt>
                <c:pt idx="51">
                  <c:v>529.53255211281794</c:v>
                </c:pt>
                <c:pt idx="52">
                  <c:v>565.87198730367686</c:v>
                </c:pt>
                <c:pt idx="53">
                  <c:v>603.14265770051622</c:v>
                </c:pt>
                <c:pt idx="54">
                  <c:v>641.3445633033358</c:v>
                </c:pt>
                <c:pt idx="55">
                  <c:v>680.47770411213628</c:v>
                </c:pt>
                <c:pt idx="56">
                  <c:v>720.54208012691652</c:v>
                </c:pt>
                <c:pt idx="57">
                  <c:v>761.53769134767731</c:v>
                </c:pt>
                <c:pt idx="58">
                  <c:v>803.46453777441843</c:v>
                </c:pt>
                <c:pt idx="59">
                  <c:v>846.32261940714</c:v>
                </c:pt>
                <c:pt idx="60">
                  <c:v>890.11193624584166</c:v>
                </c:pt>
                <c:pt idx="61">
                  <c:v>934.83248829052422</c:v>
                </c:pt>
                <c:pt idx="62">
                  <c:v>980.48427554118678</c:v>
                </c:pt>
                <c:pt idx="63">
                  <c:v>1027.0672979978294</c:v>
                </c:pt>
                <c:pt idx="64">
                  <c:v>1074.5815556604525</c:v>
                </c:pt>
                <c:pt idx="65">
                  <c:v>1123.0270485290562</c:v>
                </c:pt>
                <c:pt idx="66">
                  <c:v>1172.4037766036402</c:v>
                </c:pt>
                <c:pt idx="67">
                  <c:v>1222.7117398842045</c:v>
                </c:pt>
                <c:pt idx="68">
                  <c:v>1273.9509383707493</c:v>
                </c:pt>
                <c:pt idx="69">
                  <c:v>1326.1213720632745</c:v>
                </c:pt>
                <c:pt idx="70">
                  <c:v>1379.2230409617796</c:v>
                </c:pt>
                <c:pt idx="71">
                  <c:v>1433.2559450662652</c:v>
                </c:pt>
                <c:pt idx="72">
                  <c:v>1488.2200843767312</c:v>
                </c:pt>
                <c:pt idx="73">
                  <c:v>1544.1154588931777</c:v>
                </c:pt>
                <c:pt idx="74">
                  <c:v>1600.9420686156047</c:v>
                </c:pt>
                <c:pt idx="75">
                  <c:v>1658.6999135440119</c:v>
                </c:pt>
                <c:pt idx="76">
                  <c:v>1717.3889936783994</c:v>
                </c:pt>
                <c:pt idx="77">
                  <c:v>1777.0093090187672</c:v>
                </c:pt>
                <c:pt idx="78">
                  <c:v>1837.5608595651154</c:v>
                </c:pt>
                <c:pt idx="79">
                  <c:v>1899.0436453174439</c:v>
                </c:pt>
                <c:pt idx="80">
                  <c:v>1961.4576662757527</c:v>
                </c:pt>
                <c:pt idx="81">
                  <c:v>2024.8029224400416</c:v>
                </c:pt>
                <c:pt idx="82">
                  <c:v>2089.0794138103111</c:v>
                </c:pt>
                <c:pt idx="83">
                  <c:v>2154.2871403865611</c:v>
                </c:pt>
                <c:pt idx="84">
                  <c:v>2220.4261021687921</c:v>
                </c:pt>
                <c:pt idx="85">
                  <c:v>2287.4962991570028</c:v>
                </c:pt>
                <c:pt idx="86">
                  <c:v>2355.4977313511936</c:v>
                </c:pt>
                <c:pt idx="87">
                  <c:v>2424.4303987513649</c:v>
                </c:pt>
                <c:pt idx="88">
                  <c:v>2494.2943013575168</c:v>
                </c:pt>
                <c:pt idx="89">
                  <c:v>2565.0894391696484</c:v>
                </c:pt>
                <c:pt idx="90">
                  <c:v>2636.8158121877609</c:v>
                </c:pt>
                <c:pt idx="91">
                  <c:v>2709.4734204118536</c:v>
                </c:pt>
                <c:pt idx="92">
                  <c:v>2783.0622638419263</c:v>
                </c:pt>
                <c:pt idx="93">
                  <c:v>2857.5823424779801</c:v>
                </c:pt>
                <c:pt idx="94">
                  <c:v>2933.0336563200135</c:v>
                </c:pt>
                <c:pt idx="95">
                  <c:v>3009.4162053680275</c:v>
                </c:pt>
                <c:pt idx="96">
                  <c:v>3086.7299896220234</c:v>
                </c:pt>
                <c:pt idx="97">
                  <c:v>3164.9750090819985</c:v>
                </c:pt>
                <c:pt idx="98">
                  <c:v>3244.1512637479536</c:v>
                </c:pt>
                <c:pt idx="99">
                  <c:v>3324.2587536198889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31-411C-9A27-8BF06B658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-877.76138096978389</c:v>
                </c:pt>
                <c:pt idx="1">
                  <c:v>-851.97614208130824</c:v>
                </c:pt>
                <c:pt idx="2">
                  <c:v>-826.19090319283259</c:v>
                </c:pt>
                <c:pt idx="3">
                  <c:v>-800.40566430435706</c:v>
                </c:pt>
                <c:pt idx="4">
                  <c:v>-774.62042541588141</c:v>
                </c:pt>
                <c:pt idx="5">
                  <c:v>-748.83518652740588</c:v>
                </c:pt>
                <c:pt idx="6">
                  <c:v>-723.04994763893012</c:v>
                </c:pt>
                <c:pt idx="7">
                  <c:v>-697.26470875045459</c:v>
                </c:pt>
                <c:pt idx="8">
                  <c:v>-671.47946986197894</c:v>
                </c:pt>
                <c:pt idx="9">
                  <c:v>-645.69423097350329</c:v>
                </c:pt>
                <c:pt idx="10">
                  <c:v>-619.90899208502776</c:v>
                </c:pt>
                <c:pt idx="11">
                  <c:v>-594.12375319655212</c:v>
                </c:pt>
                <c:pt idx="12">
                  <c:v>-568.33851430807647</c:v>
                </c:pt>
                <c:pt idx="13">
                  <c:v>-542.55327541960094</c:v>
                </c:pt>
                <c:pt idx="14">
                  <c:v>-516.76803653112529</c:v>
                </c:pt>
                <c:pt idx="15">
                  <c:v>-490.9827976426497</c:v>
                </c:pt>
                <c:pt idx="16">
                  <c:v>-465.19755875417405</c:v>
                </c:pt>
                <c:pt idx="17">
                  <c:v>-439.41231986569841</c:v>
                </c:pt>
                <c:pt idx="18">
                  <c:v>-413.62708097722282</c:v>
                </c:pt>
                <c:pt idx="19">
                  <c:v>-387.84184208874717</c:v>
                </c:pt>
                <c:pt idx="20">
                  <c:v>-362.05660320027158</c:v>
                </c:pt>
                <c:pt idx="21">
                  <c:v>-336.27136431179594</c:v>
                </c:pt>
                <c:pt idx="22">
                  <c:v>-310.48612542332035</c:v>
                </c:pt>
                <c:pt idx="23">
                  <c:v>-284.70088653484476</c:v>
                </c:pt>
                <c:pt idx="24">
                  <c:v>-258.91564764636905</c:v>
                </c:pt>
                <c:pt idx="25">
                  <c:v>-233.13040875789349</c:v>
                </c:pt>
                <c:pt idx="26">
                  <c:v>-207.3451698694179</c:v>
                </c:pt>
                <c:pt idx="27">
                  <c:v>-181.55993098094234</c:v>
                </c:pt>
                <c:pt idx="28">
                  <c:v>-155.77469209246664</c:v>
                </c:pt>
                <c:pt idx="29">
                  <c:v>-129.98945320399105</c:v>
                </c:pt>
                <c:pt idx="30">
                  <c:v>-104.20421431551547</c:v>
                </c:pt>
                <c:pt idx="31">
                  <c:v>-78.418975427039783</c:v>
                </c:pt>
                <c:pt idx="32">
                  <c:v>-52.633736538564207</c:v>
                </c:pt>
                <c:pt idx="33">
                  <c:v>-26.848497650088625</c:v>
                </c:pt>
                <c:pt idx="34">
                  <c:v>-1.0632587616129312</c:v>
                </c:pt>
                <c:pt idx="35">
                  <c:v>24.721980126862647</c:v>
                </c:pt>
                <c:pt idx="36">
                  <c:v>50.507219015338222</c:v>
                </c:pt>
                <c:pt idx="37">
                  <c:v>76.292457903813926</c:v>
                </c:pt>
                <c:pt idx="38">
                  <c:v>102.0776967922895</c:v>
                </c:pt>
                <c:pt idx="39">
                  <c:v>127.86293568076508</c:v>
                </c:pt>
                <c:pt idx="40">
                  <c:v>153.64817456924067</c:v>
                </c:pt>
                <c:pt idx="41">
                  <c:v>179.43341345771623</c:v>
                </c:pt>
                <c:pt idx="42">
                  <c:v>205.21865234619204</c:v>
                </c:pt>
                <c:pt idx="43">
                  <c:v>231.00389123466763</c:v>
                </c:pt>
                <c:pt idx="44">
                  <c:v>256.7891301231432</c:v>
                </c:pt>
                <c:pt idx="45">
                  <c:v>282.57436901161878</c:v>
                </c:pt>
                <c:pt idx="46">
                  <c:v>308.35960790009437</c:v>
                </c:pt>
                <c:pt idx="47">
                  <c:v>334.14484678856991</c:v>
                </c:pt>
                <c:pt idx="48">
                  <c:v>359.93008567704572</c:v>
                </c:pt>
                <c:pt idx="49">
                  <c:v>385.71532456552131</c:v>
                </c:pt>
                <c:pt idx="50">
                  <c:v>411.5005634539969</c:v>
                </c:pt>
                <c:pt idx="51">
                  <c:v>437.28580234247249</c:v>
                </c:pt>
                <c:pt idx="52">
                  <c:v>463.07104123094808</c:v>
                </c:pt>
                <c:pt idx="53">
                  <c:v>488.85628011942362</c:v>
                </c:pt>
                <c:pt idx="54">
                  <c:v>514.64151900789921</c:v>
                </c:pt>
                <c:pt idx="55">
                  <c:v>540.42675789637508</c:v>
                </c:pt>
                <c:pt idx="56">
                  <c:v>566.21199678485061</c:v>
                </c:pt>
                <c:pt idx="57">
                  <c:v>591.99723567332614</c:v>
                </c:pt>
                <c:pt idx="58">
                  <c:v>617.78247456180179</c:v>
                </c:pt>
                <c:pt idx="59">
                  <c:v>643.56771345027732</c:v>
                </c:pt>
                <c:pt idx="60">
                  <c:v>669.35295233875297</c:v>
                </c:pt>
                <c:pt idx="61">
                  <c:v>695.13819122722873</c:v>
                </c:pt>
                <c:pt idx="62">
                  <c:v>720.92343011570426</c:v>
                </c:pt>
                <c:pt idx="63">
                  <c:v>746.70866900417991</c:v>
                </c:pt>
                <c:pt idx="64">
                  <c:v>772.49390789265544</c:v>
                </c:pt>
                <c:pt idx="65">
                  <c:v>798.27914678113109</c:v>
                </c:pt>
                <c:pt idx="66">
                  <c:v>824.06438566960662</c:v>
                </c:pt>
                <c:pt idx="67">
                  <c:v>849.84962455808216</c:v>
                </c:pt>
                <c:pt idx="68">
                  <c:v>875.63486344655803</c:v>
                </c:pt>
                <c:pt idx="69">
                  <c:v>901.42010233503356</c:v>
                </c:pt>
                <c:pt idx="70">
                  <c:v>927.20534122350921</c:v>
                </c:pt>
                <c:pt idx="71">
                  <c:v>952.99058011198474</c:v>
                </c:pt>
                <c:pt idx="72">
                  <c:v>978.77581900046027</c:v>
                </c:pt>
                <c:pt idx="73">
                  <c:v>1004.5610578889359</c:v>
                </c:pt>
                <c:pt idx="74">
                  <c:v>1030.3462967774117</c:v>
                </c:pt>
                <c:pt idx="75">
                  <c:v>1056.1315356658874</c:v>
                </c:pt>
                <c:pt idx="76">
                  <c:v>1081.916774554363</c:v>
                </c:pt>
                <c:pt idx="77">
                  <c:v>1107.7020134428385</c:v>
                </c:pt>
                <c:pt idx="78">
                  <c:v>1133.487252331314</c:v>
                </c:pt>
                <c:pt idx="79">
                  <c:v>1159.2724912197898</c:v>
                </c:pt>
                <c:pt idx="80">
                  <c:v>1185.0577301082653</c:v>
                </c:pt>
                <c:pt idx="81">
                  <c:v>1210.8429689967409</c:v>
                </c:pt>
                <c:pt idx="82">
                  <c:v>1236.6282078852164</c:v>
                </c:pt>
                <c:pt idx="83">
                  <c:v>1262.4134467736919</c:v>
                </c:pt>
                <c:pt idx="84">
                  <c:v>1288.1986856621681</c:v>
                </c:pt>
                <c:pt idx="85">
                  <c:v>1313.9839245506437</c:v>
                </c:pt>
                <c:pt idx="86">
                  <c:v>1339.7691634391192</c:v>
                </c:pt>
                <c:pt idx="87">
                  <c:v>1365.5544023275947</c:v>
                </c:pt>
                <c:pt idx="88">
                  <c:v>1391.3396412160705</c:v>
                </c:pt>
                <c:pt idx="89">
                  <c:v>1417.124880104546</c:v>
                </c:pt>
                <c:pt idx="90">
                  <c:v>1442.9101189930216</c:v>
                </c:pt>
                <c:pt idx="91">
                  <c:v>1468.6953578814971</c:v>
                </c:pt>
                <c:pt idx="92">
                  <c:v>1494.4805967699726</c:v>
                </c:pt>
                <c:pt idx="93">
                  <c:v>1520.2658356584484</c:v>
                </c:pt>
                <c:pt idx="94">
                  <c:v>1546.0510745469239</c:v>
                </c:pt>
                <c:pt idx="95">
                  <c:v>1571.8363134353995</c:v>
                </c:pt>
                <c:pt idx="96">
                  <c:v>1597.6215523238754</c:v>
                </c:pt>
                <c:pt idx="97">
                  <c:v>1623.406791212351</c:v>
                </c:pt>
                <c:pt idx="98">
                  <c:v>1649.1920301008267</c:v>
                </c:pt>
                <c:pt idx="99">
                  <c:v>1674.9772689893023</c:v>
                </c:pt>
              </c:numCache>
            </c:numRef>
          </c:xVal>
          <c:yVal>
            <c:numRef>
              <c:f>Gap90deg!$O$67:$DJ$67</c:f>
              <c:numCache>
                <c:formatCode>General</c:formatCode>
                <c:ptCount val="100"/>
                <c:pt idx="0">
                  <c:v>2834.779262526954</c:v>
                </c:pt>
                <c:pt idx="1">
                  <c:v>2834.779262526954</c:v>
                </c:pt>
                <c:pt idx="2">
                  <c:v>2834.78701306732</c:v>
                </c:pt>
                <c:pt idx="3">
                  <c:v>2834.8818751304193</c:v>
                </c:pt>
                <c:pt idx="4">
                  <c:v>2835.0846590043034</c:v>
                </c:pt>
                <c:pt idx="5">
                  <c:v>2835.3953646889722</c:v>
                </c:pt>
                <c:pt idx="6">
                  <c:v>2835.8139921844254</c:v>
                </c:pt>
                <c:pt idx="7">
                  <c:v>2836.3405414906633</c:v>
                </c:pt>
                <c:pt idx="8">
                  <c:v>2836.9750126076856</c:v>
                </c:pt>
                <c:pt idx="9">
                  <c:v>2837.7174055354935</c:v>
                </c:pt>
                <c:pt idx="10">
                  <c:v>2838.5677202740858</c:v>
                </c:pt>
                <c:pt idx="11">
                  <c:v>2839.5259568234628</c:v>
                </c:pt>
                <c:pt idx="12">
                  <c:v>2840.5921151836242</c:v>
                </c:pt>
                <c:pt idx="13">
                  <c:v>2841.7661953545703</c:v>
                </c:pt>
                <c:pt idx="14">
                  <c:v>2843.0481973363012</c:v>
                </c:pt>
                <c:pt idx="15">
                  <c:v>2844.4381211288169</c:v>
                </c:pt>
                <c:pt idx="16">
                  <c:v>2845.9359667321173</c:v>
                </c:pt>
                <c:pt idx="17">
                  <c:v>2847.541734146203</c:v>
                </c:pt>
                <c:pt idx="18">
                  <c:v>2849.2554233710725</c:v>
                </c:pt>
                <c:pt idx="19">
                  <c:v>2851.0770344067273</c:v>
                </c:pt>
                <c:pt idx="20">
                  <c:v>2853.0065672531664</c:v>
                </c:pt>
                <c:pt idx="21">
                  <c:v>2855.0440219103903</c:v>
                </c:pt>
                <c:pt idx="22">
                  <c:v>2857.1893983783993</c:v>
                </c:pt>
                <c:pt idx="23">
                  <c:v>2859.4426966571923</c:v>
                </c:pt>
                <c:pt idx="24">
                  <c:v>2861.8039167467705</c:v>
                </c:pt>
                <c:pt idx="25">
                  <c:v>2864.2730586471334</c:v>
                </c:pt>
                <c:pt idx="26">
                  <c:v>2866.8501223582812</c:v>
                </c:pt>
                <c:pt idx="27">
                  <c:v>2869.5351078802132</c:v>
                </c:pt>
                <c:pt idx="28">
                  <c:v>2872.3280152129305</c:v>
                </c:pt>
                <c:pt idx="29">
                  <c:v>2875.2288443564321</c:v>
                </c:pt>
                <c:pt idx="30">
                  <c:v>2878.2899415571128</c:v>
                </c:pt>
                <c:pt idx="31">
                  <c:v>2881.643571682172</c:v>
                </c:pt>
                <c:pt idx="32">
                  <c:v>2885.2961801663801</c:v>
                </c:pt>
                <c:pt idx="33">
                  <c:v>2889.2477670097378</c:v>
                </c:pt>
                <c:pt idx="34">
                  <c:v>2893.4983322122453</c:v>
                </c:pt>
                <c:pt idx="35">
                  <c:v>2898.0478757739011</c:v>
                </c:pt>
                <c:pt idx="36">
                  <c:v>2902.8963976947066</c:v>
                </c:pt>
                <c:pt idx="37">
                  <c:v>2908.0438979746609</c:v>
                </c:pt>
                <c:pt idx="38">
                  <c:v>2913.490376613765</c:v>
                </c:pt>
                <c:pt idx="39">
                  <c:v>2919.2358336120183</c:v>
                </c:pt>
                <c:pt idx="40">
                  <c:v>2925.2802689694208</c:v>
                </c:pt>
                <c:pt idx="41">
                  <c:v>2931.6236826859722</c:v>
                </c:pt>
                <c:pt idx="42">
                  <c:v>2938.2660747616733</c:v>
                </c:pt>
                <c:pt idx="43">
                  <c:v>2945.2074451965232</c:v>
                </c:pt>
                <c:pt idx="44">
                  <c:v>2952.4477939905228</c:v>
                </c:pt>
                <c:pt idx="45">
                  <c:v>2959.9871211436712</c:v>
                </c:pt>
                <c:pt idx="46">
                  <c:v>2967.8254266559693</c:v>
                </c:pt>
                <c:pt idx="47">
                  <c:v>2975.9627105274162</c:v>
                </c:pt>
                <c:pt idx="48">
                  <c:v>2984.3989727580124</c:v>
                </c:pt>
                <c:pt idx="49">
                  <c:v>2993.1342133477583</c:v>
                </c:pt>
                <c:pt idx="50">
                  <c:v>3002.168432296653</c:v>
                </c:pt>
                <c:pt idx="51">
                  <c:v>3011.501629604697</c:v>
                </c:pt>
                <c:pt idx="52">
                  <c:v>3021.1338052718902</c:v>
                </c:pt>
                <c:pt idx="53">
                  <c:v>3031.0649592982327</c:v>
                </c:pt>
                <c:pt idx="54">
                  <c:v>3041.2950916837244</c:v>
                </c:pt>
                <c:pt idx="55">
                  <c:v>3051.824202428365</c:v>
                </c:pt>
                <c:pt idx="56">
                  <c:v>3062.6522915321557</c:v>
                </c:pt>
                <c:pt idx="57">
                  <c:v>3073.7793589950948</c:v>
                </c:pt>
                <c:pt idx="58">
                  <c:v>3085.2054048171835</c:v>
                </c:pt>
                <c:pt idx="59">
                  <c:v>3096.9304289984216</c:v>
                </c:pt>
                <c:pt idx="60">
                  <c:v>3108.9544315388084</c:v>
                </c:pt>
                <c:pt idx="61">
                  <c:v>3121.277412438345</c:v>
                </c:pt>
                <c:pt idx="62">
                  <c:v>3133.8993716970303</c:v>
                </c:pt>
                <c:pt idx="63">
                  <c:v>3146.8203093148654</c:v>
                </c:pt>
                <c:pt idx="64">
                  <c:v>3160.0402252918498</c:v>
                </c:pt>
                <c:pt idx="65">
                  <c:v>3173.5591196279829</c:v>
                </c:pt>
                <c:pt idx="66">
                  <c:v>3187.3769923232653</c:v>
                </c:pt>
                <c:pt idx="67">
                  <c:v>3201.4938433776974</c:v>
                </c:pt>
                <c:pt idx="68">
                  <c:v>3215.9096727912784</c:v>
                </c:pt>
                <c:pt idx="69">
                  <c:v>3230.6244805640085</c:v>
                </c:pt>
                <c:pt idx="70">
                  <c:v>3245.6382666958884</c:v>
                </c:pt>
                <c:pt idx="71">
                  <c:v>3260.9510311869167</c:v>
                </c:pt>
                <c:pt idx="72">
                  <c:v>3276.5627740370946</c:v>
                </c:pt>
                <c:pt idx="73">
                  <c:v>3292.4734952464219</c:v>
                </c:pt>
                <c:pt idx="74">
                  <c:v>3308.6831948148983</c:v>
                </c:pt>
                <c:pt idx="75">
                  <c:v>3325.1918727425245</c:v>
                </c:pt>
                <c:pt idx="76">
                  <c:v>3341.9995290292991</c:v>
                </c:pt>
                <c:pt idx="77">
                  <c:v>3359.1061636752233</c:v>
                </c:pt>
                <c:pt idx="78">
                  <c:v>3376.5117766802969</c:v>
                </c:pt>
                <c:pt idx="79">
                  <c:v>3394.2163680445192</c:v>
                </c:pt>
                <c:pt idx="80">
                  <c:v>3412.2199377678912</c:v>
                </c:pt>
                <c:pt idx="81">
                  <c:v>3430.5224858504125</c:v>
                </c:pt>
                <c:pt idx="82">
                  <c:v>3449.1240122920826</c:v>
                </c:pt>
                <c:pt idx="83">
                  <c:v>3468.024517092902</c:v>
                </c:pt>
                <c:pt idx="84">
                  <c:v>3487.2240002528715</c:v>
                </c:pt>
                <c:pt idx="85">
                  <c:v>3506.7224617719894</c:v>
                </c:pt>
                <c:pt idx="86">
                  <c:v>3526.519901650257</c:v>
                </c:pt>
                <c:pt idx="87">
                  <c:v>3546.6163198876729</c:v>
                </c:pt>
                <c:pt idx="88">
                  <c:v>3567.0117164842391</c:v>
                </c:pt>
                <c:pt idx="89">
                  <c:v>3587.706091439954</c:v>
                </c:pt>
                <c:pt idx="90">
                  <c:v>3608.6994447548186</c:v>
                </c:pt>
                <c:pt idx="91">
                  <c:v>3629.9917764288316</c:v>
                </c:pt>
                <c:pt idx="92">
                  <c:v>3651.5830864619943</c:v>
                </c:pt>
                <c:pt idx="93">
                  <c:v>3673.4733748543063</c:v>
                </c:pt>
                <c:pt idx="94">
                  <c:v>3695.6626416057675</c:v>
                </c:pt>
                <c:pt idx="95">
                  <c:v>3718.150886716378</c:v>
                </c:pt>
                <c:pt idx="96">
                  <c:v>3740.9381101861377</c:v>
                </c:pt>
                <c:pt idx="97">
                  <c:v>3764.0243120150467</c:v>
                </c:pt>
                <c:pt idx="98">
                  <c:v>3787.4094922031049</c:v>
                </c:pt>
                <c:pt idx="99">
                  <c:v>3811.093650750312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AA-4293-ACB9-D113BD05E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-844.84818711325318</c:v>
                </c:pt>
                <c:pt idx="1">
                  <c:v>-819.96823559497227</c:v>
                </c:pt>
                <c:pt idx="2">
                  <c:v>-795.08828407669148</c:v>
                </c:pt>
                <c:pt idx="3">
                  <c:v>-770.20833255841058</c:v>
                </c:pt>
                <c:pt idx="4">
                  <c:v>-745.32838104012967</c:v>
                </c:pt>
                <c:pt idx="5">
                  <c:v>-720.44842952184877</c:v>
                </c:pt>
                <c:pt idx="6">
                  <c:v>-695.56847800356798</c:v>
                </c:pt>
                <c:pt idx="7">
                  <c:v>-670.68852648528707</c:v>
                </c:pt>
                <c:pt idx="8">
                  <c:v>-645.80857496700617</c:v>
                </c:pt>
                <c:pt idx="9">
                  <c:v>-620.92862344872538</c:v>
                </c:pt>
                <c:pt idx="10">
                  <c:v>-596.04867193044458</c:v>
                </c:pt>
                <c:pt idx="11">
                  <c:v>-571.16872041216368</c:v>
                </c:pt>
                <c:pt idx="12">
                  <c:v>-546.28876889388289</c:v>
                </c:pt>
                <c:pt idx="13">
                  <c:v>-521.40881737560187</c:v>
                </c:pt>
                <c:pt idx="14">
                  <c:v>-496.52886585732108</c:v>
                </c:pt>
                <c:pt idx="15">
                  <c:v>-471.64891433904018</c:v>
                </c:pt>
                <c:pt idx="16">
                  <c:v>-446.76896282075933</c:v>
                </c:pt>
                <c:pt idx="17">
                  <c:v>-421.88901130247848</c:v>
                </c:pt>
                <c:pt idx="18">
                  <c:v>-397.00905978419758</c:v>
                </c:pt>
                <c:pt idx="19">
                  <c:v>-372.12910826591678</c:v>
                </c:pt>
                <c:pt idx="20">
                  <c:v>-347.24915674763588</c:v>
                </c:pt>
                <c:pt idx="21">
                  <c:v>-322.36920522935503</c:v>
                </c:pt>
                <c:pt idx="22">
                  <c:v>-297.48925371107413</c:v>
                </c:pt>
                <c:pt idx="23">
                  <c:v>-272.60930219279322</c:v>
                </c:pt>
                <c:pt idx="24">
                  <c:v>-247.72935067451246</c:v>
                </c:pt>
                <c:pt idx="25">
                  <c:v>-222.84939915623156</c:v>
                </c:pt>
                <c:pt idx="26">
                  <c:v>-197.96944763795065</c:v>
                </c:pt>
                <c:pt idx="27">
                  <c:v>-173.08949611966986</c:v>
                </c:pt>
                <c:pt idx="28">
                  <c:v>-148.20954460138898</c:v>
                </c:pt>
                <c:pt idx="29">
                  <c:v>-123.32959308310808</c:v>
                </c:pt>
                <c:pt idx="30">
                  <c:v>-98.449641564827175</c:v>
                </c:pt>
                <c:pt idx="31">
                  <c:v>-73.569690046546398</c:v>
                </c:pt>
                <c:pt idx="32">
                  <c:v>-48.689738528265501</c:v>
                </c:pt>
                <c:pt idx="33">
                  <c:v>-23.809787009984603</c:v>
                </c:pt>
                <c:pt idx="34">
                  <c:v>1.0701645082961768</c:v>
                </c:pt>
                <c:pt idx="35">
                  <c:v>25.950116026577074</c:v>
                </c:pt>
                <c:pt idx="36">
                  <c:v>50.830067544857968</c:v>
                </c:pt>
                <c:pt idx="37">
                  <c:v>75.710019063138873</c:v>
                </c:pt>
                <c:pt idx="38">
                  <c:v>100.58997058141965</c:v>
                </c:pt>
                <c:pt idx="39">
                  <c:v>125.46992209970054</c:v>
                </c:pt>
                <c:pt idx="40">
                  <c:v>150.34987361798144</c:v>
                </c:pt>
                <c:pt idx="41">
                  <c:v>175.22982513626224</c:v>
                </c:pt>
                <c:pt idx="42">
                  <c:v>200.10977665454311</c:v>
                </c:pt>
                <c:pt idx="43">
                  <c:v>224.98972817282402</c:v>
                </c:pt>
                <c:pt idx="44">
                  <c:v>249.86967969110492</c:v>
                </c:pt>
                <c:pt idx="45">
                  <c:v>274.74963120938583</c:v>
                </c:pt>
                <c:pt idx="46">
                  <c:v>299.62958272766673</c:v>
                </c:pt>
                <c:pt idx="47">
                  <c:v>324.50953424594735</c:v>
                </c:pt>
                <c:pt idx="48">
                  <c:v>349.38948576422825</c:v>
                </c:pt>
                <c:pt idx="49">
                  <c:v>374.26943728250916</c:v>
                </c:pt>
                <c:pt idx="50">
                  <c:v>399.14938880079006</c:v>
                </c:pt>
                <c:pt idx="51">
                  <c:v>424.02934031907097</c:v>
                </c:pt>
                <c:pt idx="52">
                  <c:v>448.90929183735187</c:v>
                </c:pt>
                <c:pt idx="53">
                  <c:v>473.78924335563278</c:v>
                </c:pt>
                <c:pt idx="54">
                  <c:v>498.6691948739134</c:v>
                </c:pt>
                <c:pt idx="55">
                  <c:v>523.5491463921943</c:v>
                </c:pt>
                <c:pt idx="56">
                  <c:v>548.42909791047521</c:v>
                </c:pt>
                <c:pt idx="57">
                  <c:v>573.30904942875611</c:v>
                </c:pt>
                <c:pt idx="58">
                  <c:v>598.18900094703702</c:v>
                </c:pt>
                <c:pt idx="59">
                  <c:v>623.06895246531792</c:v>
                </c:pt>
                <c:pt idx="60">
                  <c:v>647.94890398359883</c:v>
                </c:pt>
                <c:pt idx="61">
                  <c:v>672.8288555018795</c:v>
                </c:pt>
                <c:pt idx="62">
                  <c:v>697.70880702016041</c:v>
                </c:pt>
                <c:pt idx="63">
                  <c:v>722.58875853844131</c:v>
                </c:pt>
                <c:pt idx="64">
                  <c:v>747.46871005672222</c:v>
                </c:pt>
                <c:pt idx="65">
                  <c:v>772.34866157500301</c:v>
                </c:pt>
                <c:pt idx="66">
                  <c:v>797.22861309328391</c:v>
                </c:pt>
                <c:pt idx="67">
                  <c:v>822.10856461156482</c:v>
                </c:pt>
                <c:pt idx="68">
                  <c:v>846.98851612984549</c:v>
                </c:pt>
                <c:pt idx="69">
                  <c:v>871.8684676481264</c:v>
                </c:pt>
                <c:pt idx="70">
                  <c:v>896.7484191664073</c:v>
                </c:pt>
                <c:pt idx="71">
                  <c:v>921.62837068468821</c:v>
                </c:pt>
                <c:pt idx="72">
                  <c:v>946.50832220296911</c:v>
                </c:pt>
                <c:pt idx="73">
                  <c:v>971.38827372125002</c:v>
                </c:pt>
                <c:pt idx="74">
                  <c:v>996.26822523953092</c:v>
                </c:pt>
                <c:pt idx="75">
                  <c:v>1021.1481767578116</c:v>
                </c:pt>
                <c:pt idx="76">
                  <c:v>1046.0281282760925</c:v>
                </c:pt>
                <c:pt idx="77">
                  <c:v>1070.9080797943734</c:v>
                </c:pt>
                <c:pt idx="78">
                  <c:v>1095.7880313126543</c:v>
                </c:pt>
                <c:pt idx="79">
                  <c:v>1120.6679828309352</c:v>
                </c:pt>
                <c:pt idx="80">
                  <c:v>1145.5479343492161</c:v>
                </c:pt>
                <c:pt idx="81">
                  <c:v>1170.427885867497</c:v>
                </c:pt>
                <c:pt idx="82">
                  <c:v>1195.3078373857777</c:v>
                </c:pt>
                <c:pt idx="83">
                  <c:v>1220.1877889040586</c:v>
                </c:pt>
                <c:pt idx="84">
                  <c:v>1245.0677404223395</c:v>
                </c:pt>
                <c:pt idx="85">
                  <c:v>1269.9476919406204</c:v>
                </c:pt>
                <c:pt idx="86">
                  <c:v>1294.8276434589011</c:v>
                </c:pt>
                <c:pt idx="87">
                  <c:v>1319.707594977182</c:v>
                </c:pt>
                <c:pt idx="88">
                  <c:v>1344.5875464954629</c:v>
                </c:pt>
                <c:pt idx="89">
                  <c:v>1369.4674980137438</c:v>
                </c:pt>
                <c:pt idx="90">
                  <c:v>1394.3474495320247</c:v>
                </c:pt>
                <c:pt idx="91">
                  <c:v>1419.2274010503056</c:v>
                </c:pt>
                <c:pt idx="92">
                  <c:v>1444.1073525685865</c:v>
                </c:pt>
                <c:pt idx="93">
                  <c:v>1468.987304086867</c:v>
                </c:pt>
                <c:pt idx="94">
                  <c:v>1493.8672556051479</c:v>
                </c:pt>
                <c:pt idx="95">
                  <c:v>1518.7472071234288</c:v>
                </c:pt>
                <c:pt idx="96">
                  <c:v>1543.6271586417097</c:v>
                </c:pt>
                <c:pt idx="97">
                  <c:v>1568.5071101599906</c:v>
                </c:pt>
                <c:pt idx="98">
                  <c:v>1593.3870616782715</c:v>
                </c:pt>
                <c:pt idx="99">
                  <c:v>1618.2670131965524</c:v>
                </c:pt>
              </c:numCache>
            </c:numRef>
          </c:xVal>
          <c:yVal>
            <c:numRef>
              <c:f>Gap120deg!$O$68:$DJ$68</c:f>
              <c:numCache>
                <c:formatCode>General</c:formatCode>
                <c:ptCount val="100"/>
                <c:pt idx="0">
                  <c:v>-240.35514075009525</c:v>
                </c:pt>
                <c:pt idx="1">
                  <c:v>-240.35514075009525</c:v>
                </c:pt>
                <c:pt idx="2">
                  <c:v>-240.31440256635648</c:v>
                </c:pt>
                <c:pt idx="3">
                  <c:v>-239.82395373530397</c:v>
                </c:pt>
                <c:pt idx="4">
                  <c:v>-238.77807060769464</c:v>
                </c:pt>
                <c:pt idx="5">
                  <c:v>-237.17675318352849</c:v>
                </c:pt>
                <c:pt idx="6">
                  <c:v>-235.02000146280551</c:v>
                </c:pt>
                <c:pt idx="7">
                  <c:v>-232.30781544552576</c:v>
                </c:pt>
                <c:pt idx="8">
                  <c:v>-229.04019513168907</c:v>
                </c:pt>
                <c:pt idx="9">
                  <c:v>-225.21714052129568</c:v>
                </c:pt>
                <c:pt idx="10">
                  <c:v>-220.83865161434539</c:v>
                </c:pt>
                <c:pt idx="11">
                  <c:v>-215.90472841083835</c:v>
                </c:pt>
                <c:pt idx="12">
                  <c:v>-210.41537091077447</c:v>
                </c:pt>
                <c:pt idx="13">
                  <c:v>-204.37057911415371</c:v>
                </c:pt>
                <c:pt idx="14">
                  <c:v>-197.77035302097619</c:v>
                </c:pt>
                <c:pt idx="15">
                  <c:v>-190.61469263124184</c:v>
                </c:pt>
                <c:pt idx="16">
                  <c:v>-182.9035979449506</c:v>
                </c:pt>
                <c:pt idx="17">
                  <c:v>-174.6370689621026</c:v>
                </c:pt>
                <c:pt idx="18">
                  <c:v>-165.81510568269772</c:v>
                </c:pt>
                <c:pt idx="19">
                  <c:v>-156.43770810673612</c:v>
                </c:pt>
                <c:pt idx="20">
                  <c:v>-146.50487623421765</c:v>
                </c:pt>
                <c:pt idx="21">
                  <c:v>-136.01661006514234</c:v>
                </c:pt>
                <c:pt idx="22">
                  <c:v>-124.97290959951017</c:v>
                </c:pt>
                <c:pt idx="23">
                  <c:v>-113.37377483732122</c:v>
                </c:pt>
                <c:pt idx="24">
                  <c:v>-101.2192057785755</c:v>
                </c:pt>
                <c:pt idx="25">
                  <c:v>-88.509202423272896</c:v>
                </c:pt>
                <c:pt idx="26">
                  <c:v>-75.243764771413481</c:v>
                </c:pt>
                <c:pt idx="27">
                  <c:v>-61.422892822997284</c:v>
                </c:pt>
                <c:pt idx="28">
                  <c:v>-47.046586578024218</c:v>
                </c:pt>
                <c:pt idx="29">
                  <c:v>-32.114846036494313</c:v>
                </c:pt>
                <c:pt idx="30">
                  <c:v>-16.4360991786344</c:v>
                </c:pt>
                <c:pt idx="31">
                  <c:v>0.182396356843185</c:v>
                </c:pt>
                <c:pt idx="32">
                  <c:v>17.740641016459435</c:v>
                </c:pt>
                <c:pt idx="33">
                  <c:v>36.238634800214257</c:v>
                </c:pt>
                <c:pt idx="34">
                  <c:v>55.676377708107573</c:v>
                </c:pt>
                <c:pt idx="35">
                  <c:v>76.053869740139547</c:v>
                </c:pt>
                <c:pt idx="36">
                  <c:v>97.371110896310114</c:v>
                </c:pt>
                <c:pt idx="37">
                  <c:v>119.62810117661925</c:v>
                </c:pt>
                <c:pt idx="38">
                  <c:v>142.82484058106687</c:v>
                </c:pt>
                <c:pt idx="39">
                  <c:v>166.96132910965315</c:v>
                </c:pt>
                <c:pt idx="40">
                  <c:v>192.03756676237802</c:v>
                </c:pt>
                <c:pt idx="41">
                  <c:v>218.05355353924134</c:v>
                </c:pt>
                <c:pt idx="42">
                  <c:v>245.00928944024338</c:v>
                </c:pt>
                <c:pt idx="43">
                  <c:v>272.90477446538398</c:v>
                </c:pt>
                <c:pt idx="44">
                  <c:v>301.74000861466317</c:v>
                </c:pt>
                <c:pt idx="45">
                  <c:v>331.51499188808089</c:v>
                </c:pt>
                <c:pt idx="46">
                  <c:v>362.22972428563725</c:v>
                </c:pt>
                <c:pt idx="47">
                  <c:v>393.88420580733185</c:v>
                </c:pt>
                <c:pt idx="48">
                  <c:v>426.47843645316539</c:v>
                </c:pt>
                <c:pt idx="49">
                  <c:v>460.01241622313745</c:v>
                </c:pt>
                <c:pt idx="50">
                  <c:v>494.4861451172481</c:v>
                </c:pt>
                <c:pt idx="51">
                  <c:v>529.89962313549734</c:v>
                </c:pt>
                <c:pt idx="52">
                  <c:v>566.25285027788516</c:v>
                </c:pt>
                <c:pt idx="53">
                  <c:v>603.54582654441151</c:v>
                </c:pt>
                <c:pt idx="54">
                  <c:v>641.77855193507617</c:v>
                </c:pt>
                <c:pt idx="55">
                  <c:v>680.95102644987969</c:v>
                </c:pt>
                <c:pt idx="56">
                  <c:v>721.06325008882186</c:v>
                </c:pt>
                <c:pt idx="57">
                  <c:v>762.11522285190244</c:v>
                </c:pt>
                <c:pt idx="58">
                  <c:v>804.10694473912167</c:v>
                </c:pt>
                <c:pt idx="59">
                  <c:v>847.03841575047954</c:v>
                </c:pt>
                <c:pt idx="60">
                  <c:v>890.90963588597606</c:v>
                </c:pt>
                <c:pt idx="61">
                  <c:v>935.72060514561076</c:v>
                </c:pt>
                <c:pt idx="62">
                  <c:v>981.47132352938434</c:v>
                </c:pt>
                <c:pt idx="63">
                  <c:v>1028.1617910372966</c:v>
                </c:pt>
                <c:pt idx="64">
                  <c:v>1075.7920076693472</c:v>
                </c:pt>
                <c:pt idx="65">
                  <c:v>1124.3619734255365</c:v>
                </c:pt>
                <c:pt idx="66">
                  <c:v>1173.8716883058644</c:v>
                </c:pt>
                <c:pt idx="67">
                  <c:v>1224.3211523103309</c:v>
                </c:pt>
                <c:pt idx="68">
                  <c:v>1275.7103654389355</c:v>
                </c:pt>
                <c:pt idx="69">
                  <c:v>1328.0393276916791</c:v>
                </c:pt>
                <c:pt idx="70">
                  <c:v>1381.3080390685614</c:v>
                </c:pt>
                <c:pt idx="71">
                  <c:v>1435.5164995695823</c:v>
                </c:pt>
                <c:pt idx="72">
                  <c:v>1490.6647091947416</c:v>
                </c:pt>
                <c:pt idx="73">
                  <c:v>1546.7526679440396</c:v>
                </c:pt>
                <c:pt idx="74">
                  <c:v>1603.7803758174762</c:v>
                </c:pt>
                <c:pt idx="75">
                  <c:v>1661.7478328150505</c:v>
                </c:pt>
                <c:pt idx="76">
                  <c:v>1720.6550389367642</c:v>
                </c:pt>
                <c:pt idx="77">
                  <c:v>1780.5019941826165</c:v>
                </c:pt>
                <c:pt idx="78">
                  <c:v>1841.2886985526072</c:v>
                </c:pt>
                <c:pt idx="79">
                  <c:v>1903.0151520467366</c:v>
                </c:pt>
                <c:pt idx="80">
                  <c:v>1965.6813546650046</c:v>
                </c:pt>
                <c:pt idx="81">
                  <c:v>2029.2873064074113</c:v>
                </c:pt>
                <c:pt idx="82">
                  <c:v>2093.8330072739559</c:v>
                </c:pt>
                <c:pt idx="83">
                  <c:v>2159.3184572646396</c:v>
                </c:pt>
                <c:pt idx="84">
                  <c:v>2225.7436563794618</c:v>
                </c:pt>
                <c:pt idx="85">
                  <c:v>2293.1086046184228</c:v>
                </c:pt>
                <c:pt idx="86">
                  <c:v>2361.4133019815222</c:v>
                </c:pt>
                <c:pt idx="87">
                  <c:v>2430.6577484687605</c:v>
                </c:pt>
                <c:pt idx="88">
                  <c:v>2500.8419440801372</c:v>
                </c:pt>
                <c:pt idx="89">
                  <c:v>2571.9658888156523</c:v>
                </c:pt>
                <c:pt idx="90">
                  <c:v>2644.0295826753058</c:v>
                </c:pt>
                <c:pt idx="91">
                  <c:v>2717.0330256590983</c:v>
                </c:pt>
                <c:pt idx="92">
                  <c:v>2790.9762177670295</c:v>
                </c:pt>
                <c:pt idx="93">
                  <c:v>2865.8591589990974</c:v>
                </c:pt>
                <c:pt idx="94">
                  <c:v>2941.6818493553055</c:v>
                </c:pt>
                <c:pt idx="95">
                  <c:v>3018.4442888356521</c:v>
                </c:pt>
                <c:pt idx="96">
                  <c:v>3096.146477440137</c:v>
                </c:pt>
                <c:pt idx="97">
                  <c:v>3174.7884151687608</c:v>
                </c:pt>
                <c:pt idx="98">
                  <c:v>3254.3701020215235</c:v>
                </c:pt>
                <c:pt idx="99">
                  <c:v>3334.8915379984242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AB-470F-9B83-1A6BFFDDE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-844.84818711325318</c:v>
                </c:pt>
                <c:pt idx="1">
                  <c:v>-819.96823559497227</c:v>
                </c:pt>
                <c:pt idx="2">
                  <c:v>-795.08828407669148</c:v>
                </c:pt>
                <c:pt idx="3">
                  <c:v>-770.20833255841058</c:v>
                </c:pt>
                <c:pt idx="4">
                  <c:v>-745.32838104012967</c:v>
                </c:pt>
                <c:pt idx="5">
                  <c:v>-720.44842952184877</c:v>
                </c:pt>
                <c:pt idx="6">
                  <c:v>-695.56847800356798</c:v>
                </c:pt>
                <c:pt idx="7">
                  <c:v>-670.68852648528707</c:v>
                </c:pt>
                <c:pt idx="8">
                  <c:v>-645.80857496700617</c:v>
                </c:pt>
                <c:pt idx="9">
                  <c:v>-620.92862344872538</c:v>
                </c:pt>
                <c:pt idx="10">
                  <c:v>-596.04867193044458</c:v>
                </c:pt>
                <c:pt idx="11">
                  <c:v>-571.16872041216368</c:v>
                </c:pt>
                <c:pt idx="12">
                  <c:v>-546.28876889388289</c:v>
                </c:pt>
                <c:pt idx="13">
                  <c:v>-521.40881737560187</c:v>
                </c:pt>
                <c:pt idx="14">
                  <c:v>-496.52886585732108</c:v>
                </c:pt>
                <c:pt idx="15">
                  <c:v>-471.64891433904018</c:v>
                </c:pt>
                <c:pt idx="16">
                  <c:v>-446.76896282075933</c:v>
                </c:pt>
                <c:pt idx="17">
                  <c:v>-421.88901130247848</c:v>
                </c:pt>
                <c:pt idx="18">
                  <c:v>-397.00905978419758</c:v>
                </c:pt>
                <c:pt idx="19">
                  <c:v>-372.12910826591678</c:v>
                </c:pt>
                <c:pt idx="20">
                  <c:v>-347.24915674763588</c:v>
                </c:pt>
                <c:pt idx="21">
                  <c:v>-322.36920522935503</c:v>
                </c:pt>
                <c:pt idx="22">
                  <c:v>-297.48925371107413</c:v>
                </c:pt>
                <c:pt idx="23">
                  <c:v>-272.60930219279322</c:v>
                </c:pt>
                <c:pt idx="24">
                  <c:v>-247.72935067451246</c:v>
                </c:pt>
                <c:pt idx="25">
                  <c:v>-222.84939915623156</c:v>
                </c:pt>
                <c:pt idx="26">
                  <c:v>-197.96944763795065</c:v>
                </c:pt>
                <c:pt idx="27">
                  <c:v>-173.08949611966986</c:v>
                </c:pt>
                <c:pt idx="28">
                  <c:v>-148.20954460138898</c:v>
                </c:pt>
                <c:pt idx="29">
                  <c:v>-123.32959308310808</c:v>
                </c:pt>
                <c:pt idx="30">
                  <c:v>-98.449641564827175</c:v>
                </c:pt>
                <c:pt idx="31">
                  <c:v>-73.569690046546398</c:v>
                </c:pt>
                <c:pt idx="32">
                  <c:v>-48.689738528265501</c:v>
                </c:pt>
                <c:pt idx="33">
                  <c:v>-23.809787009984603</c:v>
                </c:pt>
                <c:pt idx="34">
                  <c:v>1.0701645082961768</c:v>
                </c:pt>
                <c:pt idx="35">
                  <c:v>25.950116026577074</c:v>
                </c:pt>
                <c:pt idx="36">
                  <c:v>50.830067544857968</c:v>
                </c:pt>
                <c:pt idx="37">
                  <c:v>75.710019063138873</c:v>
                </c:pt>
                <c:pt idx="38">
                  <c:v>100.58997058141965</c:v>
                </c:pt>
                <c:pt idx="39">
                  <c:v>125.46992209970054</c:v>
                </c:pt>
                <c:pt idx="40">
                  <c:v>150.34987361798144</c:v>
                </c:pt>
                <c:pt idx="41">
                  <c:v>175.22982513626224</c:v>
                </c:pt>
                <c:pt idx="42">
                  <c:v>200.10977665454311</c:v>
                </c:pt>
                <c:pt idx="43">
                  <c:v>224.98972817282402</c:v>
                </c:pt>
                <c:pt idx="44">
                  <c:v>249.86967969110492</c:v>
                </c:pt>
                <c:pt idx="45">
                  <c:v>274.74963120938583</c:v>
                </c:pt>
                <c:pt idx="46">
                  <c:v>299.62958272766673</c:v>
                </c:pt>
                <c:pt idx="47">
                  <c:v>324.50953424594735</c:v>
                </c:pt>
                <c:pt idx="48">
                  <c:v>349.38948576422825</c:v>
                </c:pt>
                <c:pt idx="49">
                  <c:v>374.26943728250916</c:v>
                </c:pt>
                <c:pt idx="50">
                  <c:v>399.14938880079006</c:v>
                </c:pt>
                <c:pt idx="51">
                  <c:v>424.02934031907097</c:v>
                </c:pt>
                <c:pt idx="52">
                  <c:v>448.90929183735187</c:v>
                </c:pt>
                <c:pt idx="53">
                  <c:v>473.78924335563278</c:v>
                </c:pt>
                <c:pt idx="54">
                  <c:v>498.6691948739134</c:v>
                </c:pt>
                <c:pt idx="55">
                  <c:v>523.5491463921943</c:v>
                </c:pt>
                <c:pt idx="56">
                  <c:v>548.42909791047521</c:v>
                </c:pt>
                <c:pt idx="57">
                  <c:v>573.30904942875611</c:v>
                </c:pt>
                <c:pt idx="58">
                  <c:v>598.18900094703702</c:v>
                </c:pt>
                <c:pt idx="59">
                  <c:v>623.06895246531792</c:v>
                </c:pt>
                <c:pt idx="60">
                  <c:v>647.94890398359883</c:v>
                </c:pt>
                <c:pt idx="61">
                  <c:v>672.8288555018795</c:v>
                </c:pt>
                <c:pt idx="62">
                  <c:v>697.70880702016041</c:v>
                </c:pt>
                <c:pt idx="63">
                  <c:v>722.58875853844131</c:v>
                </c:pt>
                <c:pt idx="64">
                  <c:v>747.46871005672222</c:v>
                </c:pt>
                <c:pt idx="65">
                  <c:v>772.34866157500301</c:v>
                </c:pt>
                <c:pt idx="66">
                  <c:v>797.22861309328391</c:v>
                </c:pt>
                <c:pt idx="67">
                  <c:v>822.10856461156482</c:v>
                </c:pt>
                <c:pt idx="68">
                  <c:v>846.98851612984549</c:v>
                </c:pt>
                <c:pt idx="69">
                  <c:v>871.8684676481264</c:v>
                </c:pt>
                <c:pt idx="70">
                  <c:v>896.7484191664073</c:v>
                </c:pt>
                <c:pt idx="71">
                  <c:v>921.62837068468821</c:v>
                </c:pt>
                <c:pt idx="72">
                  <c:v>946.50832220296911</c:v>
                </c:pt>
                <c:pt idx="73">
                  <c:v>971.38827372125002</c:v>
                </c:pt>
                <c:pt idx="74">
                  <c:v>996.26822523953092</c:v>
                </c:pt>
                <c:pt idx="75">
                  <c:v>1021.1481767578116</c:v>
                </c:pt>
                <c:pt idx="76">
                  <c:v>1046.0281282760925</c:v>
                </c:pt>
                <c:pt idx="77">
                  <c:v>1070.9080797943734</c:v>
                </c:pt>
                <c:pt idx="78">
                  <c:v>1095.7880313126543</c:v>
                </c:pt>
                <c:pt idx="79">
                  <c:v>1120.6679828309352</c:v>
                </c:pt>
                <c:pt idx="80">
                  <c:v>1145.5479343492161</c:v>
                </c:pt>
                <c:pt idx="81">
                  <c:v>1170.427885867497</c:v>
                </c:pt>
                <c:pt idx="82">
                  <c:v>1195.3078373857777</c:v>
                </c:pt>
                <c:pt idx="83">
                  <c:v>1220.1877889040586</c:v>
                </c:pt>
                <c:pt idx="84">
                  <c:v>1245.0677404223395</c:v>
                </c:pt>
                <c:pt idx="85">
                  <c:v>1269.9476919406204</c:v>
                </c:pt>
                <c:pt idx="86">
                  <c:v>1294.8276434589011</c:v>
                </c:pt>
                <c:pt idx="87">
                  <c:v>1319.707594977182</c:v>
                </c:pt>
                <c:pt idx="88">
                  <c:v>1344.5875464954629</c:v>
                </c:pt>
                <c:pt idx="89">
                  <c:v>1369.4674980137438</c:v>
                </c:pt>
                <c:pt idx="90">
                  <c:v>1394.3474495320247</c:v>
                </c:pt>
                <c:pt idx="91">
                  <c:v>1419.2274010503056</c:v>
                </c:pt>
                <c:pt idx="92">
                  <c:v>1444.1073525685865</c:v>
                </c:pt>
                <c:pt idx="93">
                  <c:v>1468.987304086867</c:v>
                </c:pt>
                <c:pt idx="94">
                  <c:v>1493.8672556051479</c:v>
                </c:pt>
                <c:pt idx="95">
                  <c:v>1518.7472071234288</c:v>
                </c:pt>
                <c:pt idx="96">
                  <c:v>1543.6271586417097</c:v>
                </c:pt>
                <c:pt idx="97">
                  <c:v>1568.5071101599906</c:v>
                </c:pt>
                <c:pt idx="98">
                  <c:v>1593.3870616782715</c:v>
                </c:pt>
                <c:pt idx="99">
                  <c:v>1618.2670131965524</c:v>
                </c:pt>
              </c:numCache>
            </c:numRef>
          </c:xVal>
          <c:yVal>
            <c:numRef>
              <c:f>Gap120deg!$O$67:$DJ$67</c:f>
              <c:numCache>
                <c:formatCode>General</c:formatCode>
                <c:ptCount val="100"/>
                <c:pt idx="0">
                  <c:v>2837.6042592452122</c:v>
                </c:pt>
                <c:pt idx="1">
                  <c:v>2837.6042592452122</c:v>
                </c:pt>
                <c:pt idx="2">
                  <c:v>2837.6117697926179</c:v>
                </c:pt>
                <c:pt idx="3">
                  <c:v>2837.7021896115098</c:v>
                </c:pt>
                <c:pt idx="4">
                  <c:v>2837.8950100588081</c:v>
                </c:pt>
                <c:pt idx="5">
                  <c:v>2838.1902311345129</c:v>
                </c:pt>
                <c:pt idx="6">
                  <c:v>2838.5878528386247</c:v>
                </c:pt>
                <c:pt idx="7">
                  <c:v>2839.0878751711425</c:v>
                </c:pt>
                <c:pt idx="8">
                  <c:v>2839.6902981320668</c:v>
                </c:pt>
                <c:pt idx="9">
                  <c:v>2840.3951217213976</c:v>
                </c:pt>
                <c:pt idx="10">
                  <c:v>2841.2023459391353</c:v>
                </c:pt>
                <c:pt idx="11">
                  <c:v>2842.111970785279</c:v>
                </c:pt>
                <c:pt idx="12">
                  <c:v>2843.1239962598297</c:v>
                </c:pt>
                <c:pt idx="13">
                  <c:v>2844.2384223627864</c:v>
                </c:pt>
                <c:pt idx="14">
                  <c:v>2845.4552490941496</c:v>
                </c:pt>
                <c:pt idx="15">
                  <c:v>2846.7744764539198</c:v>
                </c:pt>
                <c:pt idx="16">
                  <c:v>2848.1961044420959</c:v>
                </c:pt>
                <c:pt idx="17">
                  <c:v>2849.720133058679</c:v>
                </c:pt>
                <c:pt idx="18">
                  <c:v>2851.3465623036682</c:v>
                </c:pt>
                <c:pt idx="19">
                  <c:v>2853.0753921770643</c:v>
                </c:pt>
                <c:pt idx="20">
                  <c:v>2854.9066226788668</c:v>
                </c:pt>
                <c:pt idx="21">
                  <c:v>2856.8402538090759</c:v>
                </c:pt>
                <c:pt idx="22">
                  <c:v>2858.876285567691</c:v>
                </c:pt>
                <c:pt idx="23">
                  <c:v>2861.014717954713</c:v>
                </c:pt>
                <c:pt idx="24">
                  <c:v>2863.2555509701415</c:v>
                </c:pt>
                <c:pt idx="25">
                  <c:v>2865.5987846139765</c:v>
                </c:pt>
                <c:pt idx="26">
                  <c:v>2868.044418886218</c:v>
                </c:pt>
                <c:pt idx="27">
                  <c:v>2870.5924537868659</c:v>
                </c:pt>
                <c:pt idx="28">
                  <c:v>2873.2428893159199</c:v>
                </c:pt>
                <c:pt idx="29">
                  <c:v>2875.9957254733813</c:v>
                </c:pt>
                <c:pt idx="30">
                  <c:v>2878.9503142518238</c:v>
                </c:pt>
                <c:pt idx="31">
                  <c:v>2882.2066145996896</c:v>
                </c:pt>
                <c:pt idx="32">
                  <c:v>2885.7646267485507</c:v>
                </c:pt>
                <c:pt idx="33">
                  <c:v>2889.6243506984079</c:v>
                </c:pt>
                <c:pt idx="34">
                  <c:v>2893.7857864492607</c:v>
                </c:pt>
                <c:pt idx="35">
                  <c:v>2898.2489340011084</c:v>
                </c:pt>
                <c:pt idx="36">
                  <c:v>2903.0137933539531</c:v>
                </c:pt>
                <c:pt idx="37">
                  <c:v>2908.0803645077926</c:v>
                </c:pt>
                <c:pt idx="38">
                  <c:v>2913.4486474626274</c:v>
                </c:pt>
                <c:pt idx="39">
                  <c:v>2919.1186422184583</c:v>
                </c:pt>
                <c:pt idx="40">
                  <c:v>2925.0903487752848</c:v>
                </c:pt>
                <c:pt idx="41">
                  <c:v>2931.3637671331076</c:v>
                </c:pt>
                <c:pt idx="42">
                  <c:v>2937.9388972919251</c:v>
                </c:pt>
                <c:pt idx="43">
                  <c:v>2944.8157392517383</c:v>
                </c:pt>
                <c:pt idx="44">
                  <c:v>2951.9942930125476</c:v>
                </c:pt>
                <c:pt idx="45">
                  <c:v>2959.4745585743526</c:v>
                </c:pt>
                <c:pt idx="46">
                  <c:v>2967.2565359371529</c:v>
                </c:pt>
                <c:pt idx="47">
                  <c:v>2975.3402251009488</c:v>
                </c:pt>
                <c:pt idx="48">
                  <c:v>2983.7256260657409</c:v>
                </c:pt>
                <c:pt idx="49">
                  <c:v>2992.4127388315278</c:v>
                </c:pt>
                <c:pt idx="50">
                  <c:v>3001.4015633983108</c:v>
                </c:pt>
                <c:pt idx="51">
                  <c:v>3010.6920997660895</c:v>
                </c:pt>
                <c:pt idx="52">
                  <c:v>3020.2843479348639</c:v>
                </c:pt>
                <c:pt idx="53">
                  <c:v>3030.178307904634</c:v>
                </c:pt>
                <c:pt idx="54">
                  <c:v>3040.3739796753998</c:v>
                </c:pt>
                <c:pt idx="55">
                  <c:v>3050.8713632471608</c:v>
                </c:pt>
                <c:pt idx="56">
                  <c:v>3061.6704586199176</c:v>
                </c:pt>
                <c:pt idx="57">
                  <c:v>3072.7712657936704</c:v>
                </c:pt>
                <c:pt idx="58">
                  <c:v>3084.1737847684185</c:v>
                </c:pt>
                <c:pt idx="59">
                  <c:v>3095.8780155441623</c:v>
                </c:pt>
                <c:pt idx="60">
                  <c:v>3107.8839581209022</c:v>
                </c:pt>
                <c:pt idx="61">
                  <c:v>3120.1916124986369</c:v>
                </c:pt>
                <c:pt idx="62">
                  <c:v>3132.8009786773678</c:v>
                </c:pt>
                <c:pt idx="63">
                  <c:v>3145.7120566570939</c:v>
                </c:pt>
                <c:pt idx="64">
                  <c:v>3158.9248464378161</c:v>
                </c:pt>
                <c:pt idx="65">
                  <c:v>3172.439348019534</c:v>
                </c:pt>
                <c:pt idx="66">
                  <c:v>3186.2555614022472</c:v>
                </c:pt>
                <c:pt idx="67">
                  <c:v>3200.373486585956</c:v>
                </c:pt>
                <c:pt idx="68">
                  <c:v>3214.793123570661</c:v>
                </c:pt>
                <c:pt idx="69">
                  <c:v>3229.5144723563612</c:v>
                </c:pt>
                <c:pt idx="70">
                  <c:v>3244.5375329430567</c:v>
                </c:pt>
                <c:pt idx="71">
                  <c:v>3259.8623053307488</c:v>
                </c:pt>
                <c:pt idx="72">
                  <c:v>3275.4887895194361</c:v>
                </c:pt>
                <c:pt idx="73">
                  <c:v>3291.4169855091191</c:v>
                </c:pt>
                <c:pt idx="74">
                  <c:v>3307.6468932997977</c:v>
                </c:pt>
                <c:pt idx="75">
                  <c:v>3324.1785128914712</c:v>
                </c:pt>
                <c:pt idx="76">
                  <c:v>3341.0118442841413</c:v>
                </c:pt>
                <c:pt idx="77">
                  <c:v>3358.1468874778066</c:v>
                </c:pt>
                <c:pt idx="78">
                  <c:v>3375.583642472468</c:v>
                </c:pt>
                <c:pt idx="79">
                  <c:v>3393.3221092681247</c:v>
                </c:pt>
                <c:pt idx="80">
                  <c:v>3411.362287864777</c:v>
                </c:pt>
                <c:pt idx="81">
                  <c:v>3429.7041782624251</c:v>
                </c:pt>
                <c:pt idx="82">
                  <c:v>3448.3477804610689</c:v>
                </c:pt>
                <c:pt idx="83">
                  <c:v>3467.2930944607083</c:v>
                </c:pt>
                <c:pt idx="84">
                  <c:v>3486.5401202613434</c:v>
                </c:pt>
                <c:pt idx="85">
                  <c:v>3506.0888578629738</c:v>
                </c:pt>
                <c:pt idx="86">
                  <c:v>3525.9393072656003</c:v>
                </c:pt>
                <c:pt idx="87">
                  <c:v>3546.091468469222</c:v>
                </c:pt>
                <c:pt idx="88">
                  <c:v>3566.5453414738399</c:v>
                </c:pt>
                <c:pt idx="89">
                  <c:v>3587.3009262794531</c:v>
                </c:pt>
                <c:pt idx="90">
                  <c:v>3608.3582228860619</c:v>
                </c:pt>
                <c:pt idx="91">
                  <c:v>3629.7172312936664</c:v>
                </c:pt>
                <c:pt idx="92">
                  <c:v>3651.3779515022661</c:v>
                </c:pt>
                <c:pt idx="93">
                  <c:v>3673.340383511862</c:v>
                </c:pt>
                <c:pt idx="94">
                  <c:v>3695.6045273224536</c:v>
                </c:pt>
                <c:pt idx="95">
                  <c:v>3718.1703829340404</c:v>
                </c:pt>
                <c:pt idx="96">
                  <c:v>3741.0379503466233</c:v>
                </c:pt>
                <c:pt idx="97">
                  <c:v>3764.207229560202</c:v>
                </c:pt>
                <c:pt idx="98">
                  <c:v>3787.6782205747763</c:v>
                </c:pt>
                <c:pt idx="99">
                  <c:v>3811.4509233903455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2F-4431-A34D-A5F4DF964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b="1"/>
              <a:t>Flange sketch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title>
    <c:autoTitleDeleted val="0"/>
    <c:plotArea>
      <c:layout>
        <c:manualLayout>
          <c:layoutTarget val="inner"/>
          <c:xMode val="edge"/>
          <c:yMode val="edge"/>
          <c:x val="8.6125687119298772E-2"/>
          <c:y val="8.2947213395298688E-2"/>
          <c:w val="0.86569175456841485"/>
          <c:h val="0.8365031845219757"/>
        </c:manualLayout>
      </c:layout>
      <c:scatterChart>
        <c:scatterStyle val="lineMarker"/>
        <c:varyColors val="0"/>
        <c:ser>
          <c:idx val="0"/>
          <c:order val="0"/>
          <c:tx>
            <c:v>154:B&amp;B Reference; Bolt: 120xM80 ISO; D=7500mm; a=232.5mm; b=166.5mm; s=72.0mm; s2=100.0mm; t=200.0mm; w=435.0mm; A=87000mm²</c:v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9"/>
              <c:pt idx="0">
                <c:v>36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435</c:v>
              </c:pt>
              <c:pt idx="5">
                <c:v>435</c:v>
              </c:pt>
              <c:pt idx="6">
                <c:v>72</c:v>
              </c:pt>
              <c:pt idx="7">
                <c:v>72</c:v>
              </c:pt>
              <c:pt idx="8">
                <c:v>36</c:v>
              </c:pt>
            </c:numLit>
          </c:xVal>
          <c:yVal>
            <c:numLit>
              <c:formatCode>General</c:formatCode>
              <c:ptCount val="9"/>
              <c:pt idx="0">
                <c:v>266</c:v>
              </c:pt>
              <c:pt idx="1">
                <c:v>230</c:v>
              </c:pt>
              <c:pt idx="2">
                <c:v>200</c:v>
              </c:pt>
              <c:pt idx="3">
                <c:v>0</c:v>
              </c:pt>
              <c:pt idx="4">
                <c:v>0</c:v>
              </c:pt>
              <c:pt idx="5">
                <c:v>200</c:v>
              </c:pt>
              <c:pt idx="6">
                <c:v>200</c:v>
              </c:pt>
              <c:pt idx="7">
                <c:v>230</c:v>
              </c:pt>
              <c:pt idx="8">
                <c:v>266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9572-491F-800F-94177882B13A}"/>
            </c:ext>
          </c:extLst>
        </c:ser>
        <c:ser>
          <c:idx val="1"/>
          <c:order val="1"/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202.5</c:v>
              </c:pt>
              <c:pt idx="1">
                <c:v>202.5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266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9572-491F-800F-94177882B13A}"/>
            </c:ext>
          </c:extLst>
        </c:ser>
        <c:ser>
          <c:idx val="2"/>
          <c:order val="2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162.5</c:v>
              </c:pt>
              <c:pt idx="1">
                <c:v>162.5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9572-491F-800F-94177882B13A}"/>
            </c:ext>
          </c:extLst>
        </c:ser>
        <c:ser>
          <c:idx val="3"/>
          <c:order val="3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242.5</c:v>
              </c:pt>
              <c:pt idx="1">
                <c:v>242.5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9572-491F-800F-94177882B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2628831"/>
        <c:axId val="1066567791"/>
      </c:scatterChart>
      <c:valAx>
        <c:axId val="812628831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dash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1066567791"/>
        <c:crosses val="autoZero"/>
        <c:crossBetween val="midCat"/>
      </c:valAx>
      <c:valAx>
        <c:axId val="1066567791"/>
        <c:scaling>
          <c:orientation val="minMax"/>
          <c:max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812628831"/>
        <c:crosses val="autoZero"/>
        <c:crossBetween val="midCat"/>
        <c:majorUnit val="100"/>
      </c:valAx>
      <c:spPr>
        <a:noFill/>
        <a:ln>
          <a:solidFill>
            <a:schemeClr val="tx1">
              <a:lumMod val="25000"/>
              <a:lumOff val="75000"/>
              <a:alpha val="94000"/>
            </a:schemeClr>
          </a:solidFill>
        </a:ln>
        <a:effectLst/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233676700334503"/>
          <c:y val="0.11249602467439239"/>
          <c:w val="0.69184979353151832"/>
          <c:h val="0.24945713960806035"/>
        </c:manualLayout>
      </c:layout>
      <c:overlay val="0"/>
      <c:spPr>
        <a:solidFill>
          <a:srgbClr xmlns:mc="http://schemas.openxmlformats.org/markup-compatibility/2006" xmlns:a14="http://schemas.microsoft.com/office/drawing/2010/main" val="FFFFFF" mc:Ignorable="a14" a14:legacySpreadsheetColorIndex="9">
            <a:alpha val="50000"/>
          </a:srgbClr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NL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15240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99060</xdr:colOff>
          <xdr:row>2</xdr:row>
          <xdr:rowOff>152400</xdr:rowOff>
        </xdr:from>
        <xdr:to>
          <xdr:col>15</xdr:col>
          <xdr:colOff>335280</xdr:colOff>
          <xdr:row>6</xdr:row>
          <xdr:rowOff>60960</xdr:rowOff>
        </xdr:to>
        <xdr:sp macro="" textlink="">
          <xdr:nvSpPr>
            <xdr:cNvPr id="6145" name="Button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NL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Design values</a:t>
              </a:r>
            </a:p>
          </xdr:txBody>
        </xdr:sp>
        <xdr:clientData fPrintsWithSheet="0"/>
      </xdr:twoCellAnchor>
    </mc:Choice>
    <mc:Fallback/>
  </mc:AlternateContent>
  <xdr:twoCellAnchor>
    <xdr:from>
      <xdr:col>2</xdr:col>
      <xdr:colOff>287768</xdr:colOff>
      <xdr:row>3</xdr:row>
      <xdr:rowOff>63425</xdr:rowOff>
    </xdr:from>
    <xdr:to>
      <xdr:col>5</xdr:col>
      <xdr:colOff>714376</xdr:colOff>
      <xdr:row>23</xdr:row>
      <xdr:rowOff>114096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752E-498B-4229-89D4-250497F09F47}">
  <sheetPr codeName="Sheet1">
    <pageSetUpPr fitToPage="1"/>
  </sheetPr>
  <dimension ref="A1:DJ180"/>
  <sheetViews>
    <sheetView showGridLines="0" zoomScaleNormal="100" workbookViewId="0">
      <pane ySplit="1" topLeftCell="A126" activePane="bottomLeft" state="frozen"/>
      <selection pane="bottomLeft" activeCell="J149" sqref="J149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19</v>
      </c>
      <c r="C1" s="56"/>
      <c r="D1" s="56"/>
      <c r="E1" s="56"/>
      <c r="F1" s="56"/>
      <c r="G1" s="56"/>
      <c r="H1" s="55"/>
      <c r="I1" s="55"/>
      <c r="J1" s="54" t="s">
        <v>18</v>
      </c>
      <c r="K1" s="53" t="s">
        <v>17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1" t="s">
        <v>16</v>
      </c>
      <c r="B3" s="162"/>
      <c r="C3" s="162"/>
      <c r="D3" s="162"/>
      <c r="E3" s="162"/>
      <c r="F3" s="162"/>
      <c r="G3" s="162"/>
      <c r="H3" s="162"/>
      <c r="I3" s="162"/>
      <c r="J3" s="162"/>
      <c r="K3" s="162"/>
    </row>
    <row r="4" spans="1:15" s="46" customFormat="1" ht="20.100000000000001" hidden="1" customHeight="1" outlineLevel="1">
      <c r="A4" s="47" t="s">
        <v>15</v>
      </c>
      <c r="B4" s="163" t="s">
        <v>14</v>
      </c>
      <c r="C4" s="163"/>
      <c r="D4" s="163"/>
      <c r="E4" s="163"/>
      <c r="F4" s="163"/>
      <c r="G4" s="163"/>
      <c r="H4" s="47" t="s">
        <v>13</v>
      </c>
      <c r="I4" s="47" t="s">
        <v>12</v>
      </c>
      <c r="J4" s="47" t="s">
        <v>11</v>
      </c>
      <c r="K4" s="47" t="s">
        <v>10</v>
      </c>
    </row>
    <row r="5" spans="1:15" s="41" customFormat="1" ht="20.100000000000001" hidden="1" customHeight="1" outlineLevel="1">
      <c r="A5" s="45"/>
      <c r="B5" s="155"/>
      <c r="C5" s="156"/>
      <c r="D5" s="156"/>
      <c r="E5" s="156"/>
      <c r="F5" s="156"/>
      <c r="G5" s="157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55"/>
      <c r="C6" s="156"/>
      <c r="D6" s="156"/>
      <c r="E6" s="156"/>
      <c r="F6" s="156"/>
      <c r="G6" s="157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55"/>
      <c r="C7" s="156"/>
      <c r="D7" s="156"/>
      <c r="E7" s="156"/>
      <c r="F7" s="156"/>
      <c r="G7" s="157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55"/>
      <c r="C8" s="156"/>
      <c r="D8" s="156"/>
      <c r="E8" s="156"/>
      <c r="F8" s="156"/>
      <c r="G8" s="157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55"/>
      <c r="C9" s="156"/>
      <c r="D9" s="156"/>
      <c r="E9" s="156"/>
      <c r="F9" s="156"/>
      <c r="G9" s="157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322</v>
      </c>
      <c r="B11" s="37" t="s">
        <v>321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58" t="s">
        <v>100</v>
      </c>
      <c r="C13" s="158"/>
      <c r="D13" s="160" t="s">
        <v>101</v>
      </c>
      <c r="E13" s="160"/>
      <c r="F13" s="160"/>
      <c r="G13" s="160"/>
      <c r="H13" s="160"/>
      <c r="I13" s="160"/>
      <c r="J13" s="160"/>
      <c r="K13" s="160"/>
      <c r="L13" s="86"/>
    </row>
    <row r="14" spans="1:15" s="85" customFormat="1" ht="20.100000000000001" customHeight="1" outlineLevel="1">
      <c r="A14" s="87"/>
      <c r="B14" s="158" t="s">
        <v>99</v>
      </c>
      <c r="C14" s="158"/>
      <c r="D14" s="160" t="s">
        <v>103</v>
      </c>
      <c r="E14" s="160"/>
      <c r="F14" s="160"/>
      <c r="G14" s="160"/>
      <c r="H14" s="160"/>
      <c r="I14" s="160"/>
      <c r="J14" s="160"/>
      <c r="K14" s="160"/>
      <c r="L14" s="86"/>
    </row>
    <row r="15" spans="1:15" s="85" customFormat="1" ht="20.100000000000001" customHeight="1" outlineLevel="1">
      <c r="A15" s="87"/>
      <c r="B15" s="158" t="s">
        <v>98</v>
      </c>
      <c r="C15" s="158"/>
      <c r="D15" s="160" t="s">
        <v>102</v>
      </c>
      <c r="E15" s="160"/>
      <c r="F15" s="160"/>
      <c r="G15" s="160"/>
      <c r="H15" s="160"/>
      <c r="I15" s="160"/>
      <c r="J15" s="160"/>
      <c r="K15" s="160"/>
      <c r="L15" s="86"/>
    </row>
    <row r="16" spans="1:15" s="85" customFormat="1" ht="20.100000000000001" customHeight="1" outlineLevel="1">
      <c r="A16" s="87"/>
      <c r="B16" s="158" t="s">
        <v>97</v>
      </c>
      <c r="C16" s="158"/>
      <c r="D16" s="160" t="str">
        <f>Title</f>
        <v>Flange Segment Analytical Model for 30° gap size and shape factor 1.2</v>
      </c>
      <c r="E16" s="160"/>
      <c r="F16" s="160"/>
      <c r="G16" s="160"/>
      <c r="H16" s="160"/>
      <c r="I16" s="160"/>
      <c r="J16" s="160"/>
      <c r="K16" s="160"/>
      <c r="L16" s="86"/>
      <c r="M16" s="88"/>
    </row>
    <row r="17" spans="1:22" s="85" customFormat="1" ht="20.100000000000001" customHeight="1" outlineLevel="1">
      <c r="A17" s="87"/>
      <c r="B17" s="158" t="s">
        <v>96</v>
      </c>
      <c r="C17" s="158"/>
      <c r="D17" s="164">
        <v>0.1</v>
      </c>
      <c r="E17" s="160"/>
      <c r="F17" s="160"/>
      <c r="G17" s="160"/>
      <c r="H17" s="160"/>
      <c r="I17" s="160"/>
      <c r="J17" s="160"/>
      <c r="K17" s="160"/>
      <c r="L17" s="86"/>
    </row>
    <row r="18" spans="1:22" s="85" customFormat="1" ht="20.100000000000001" customHeight="1" outlineLevel="1">
      <c r="A18" s="87"/>
      <c r="B18" s="158" t="s">
        <v>95</v>
      </c>
      <c r="C18" s="158"/>
      <c r="D18" s="159">
        <v>45432</v>
      </c>
      <c r="E18" s="159"/>
      <c r="F18" s="159"/>
      <c r="G18" s="159"/>
      <c r="H18" s="159"/>
      <c r="I18" s="159"/>
      <c r="J18" s="159"/>
      <c r="K18" s="159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E.1</v>
      </c>
      <c r="B21" s="14" t="s">
        <v>20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9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5"/>
      <c r="C28" s="166"/>
      <c r="D28" s="166"/>
      <c r="E28" s="166"/>
      <c r="F28" s="166"/>
      <c r="G28" s="166"/>
      <c r="H28" s="166"/>
      <c r="I28" s="166"/>
      <c r="J28" s="166"/>
      <c r="K28" s="167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E.1.1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4</v>
      </c>
      <c r="B36" s="11" t="s">
        <v>21</v>
      </c>
      <c r="C36" s="11"/>
      <c r="D36" s="11"/>
      <c r="E36" s="11"/>
      <c r="F36" s="11"/>
      <c r="G36" s="11"/>
      <c r="H36" s="11"/>
      <c r="I36" s="10" t="s">
        <v>22</v>
      </c>
      <c r="J36" s="92">
        <v>232.5</v>
      </c>
      <c r="K36" s="93" t="s">
        <v>7</v>
      </c>
      <c r="L36" s="3"/>
    </row>
    <row r="37" spans="1:22" ht="20.100000000000001" customHeight="1" outlineLevel="1">
      <c r="A37" s="9" t="s">
        <v>3</v>
      </c>
      <c r="B37" s="8" t="s">
        <v>23</v>
      </c>
      <c r="C37" s="8"/>
      <c r="D37" s="8"/>
      <c r="E37" s="8"/>
      <c r="F37" s="8"/>
      <c r="G37" s="8"/>
      <c r="H37" s="8"/>
      <c r="I37" s="7" t="s">
        <v>24</v>
      </c>
      <c r="J37" s="62">
        <v>166.5</v>
      </c>
      <c r="K37" s="5" t="s">
        <v>7</v>
      </c>
      <c r="L37" s="3"/>
    </row>
    <row r="38" spans="1:22" ht="20.100000000000001" customHeight="1" outlineLevel="1">
      <c r="A38" s="9" t="s">
        <v>3</v>
      </c>
      <c r="B38" s="8" t="s">
        <v>25</v>
      </c>
      <c r="C38" s="8"/>
      <c r="D38" s="8"/>
      <c r="E38" s="8"/>
      <c r="F38" s="8"/>
      <c r="G38" s="8"/>
      <c r="H38" s="8"/>
      <c r="I38" s="7" t="s">
        <v>26</v>
      </c>
      <c r="J38" s="62">
        <v>72</v>
      </c>
      <c r="K38" s="5" t="s">
        <v>7</v>
      </c>
      <c r="L38" s="3"/>
    </row>
    <row r="39" spans="1:22" ht="20.100000000000001" customHeight="1" outlineLevel="1">
      <c r="A39" s="9" t="s">
        <v>2</v>
      </c>
      <c r="B39" s="8" t="s">
        <v>27</v>
      </c>
      <c r="C39" s="8"/>
      <c r="D39" s="8"/>
      <c r="E39" s="8"/>
      <c r="F39" s="8"/>
      <c r="G39" s="8"/>
      <c r="H39" s="8"/>
      <c r="I39" s="7" t="s">
        <v>28</v>
      </c>
      <c r="J39" s="62">
        <v>200</v>
      </c>
      <c r="K39" s="5" t="s">
        <v>7</v>
      </c>
      <c r="L39" s="3"/>
    </row>
    <row r="40" spans="1:22" ht="20.100000000000001" customHeight="1" outlineLevel="1">
      <c r="A40" s="9" t="s">
        <v>6</v>
      </c>
      <c r="B40" s="8" t="s">
        <v>295</v>
      </c>
      <c r="C40" s="8"/>
      <c r="D40" s="8"/>
      <c r="E40" s="8"/>
      <c r="F40" s="8"/>
      <c r="G40" s="8"/>
      <c r="H40" s="8"/>
      <c r="I40" s="7" t="s">
        <v>296</v>
      </c>
      <c r="J40" s="62">
        <v>3</v>
      </c>
      <c r="K40" s="5" t="s">
        <v>215</v>
      </c>
      <c r="L40" s="3"/>
    </row>
    <row r="41" spans="1:22" ht="20.100000000000001" customHeight="1" outlineLevel="1">
      <c r="A41" s="9" t="s">
        <v>5</v>
      </c>
      <c r="B41" s="8" t="s">
        <v>290</v>
      </c>
      <c r="C41" s="8"/>
      <c r="D41" s="8"/>
      <c r="E41" s="8"/>
      <c r="F41" s="8"/>
      <c r="G41" s="8"/>
      <c r="H41" s="8"/>
      <c r="I41" s="7" t="s">
        <v>29</v>
      </c>
      <c r="J41" s="62">
        <v>3750</v>
      </c>
      <c r="K41" s="5" t="s">
        <v>7</v>
      </c>
      <c r="L41" s="3"/>
    </row>
    <row r="42" spans="1:22" ht="20.100000000000001" customHeight="1" outlineLevel="1">
      <c r="A42" s="9" t="s">
        <v>30</v>
      </c>
      <c r="B42" s="17" t="s">
        <v>319</v>
      </c>
      <c r="C42" s="17"/>
      <c r="D42" s="17"/>
      <c r="E42" s="17"/>
      <c r="F42" s="17"/>
      <c r="G42" s="17"/>
      <c r="H42" s="17"/>
      <c r="I42" s="16" t="s">
        <v>31</v>
      </c>
      <c r="J42" s="64">
        <v>-123.29166666666667</v>
      </c>
      <c r="K42" s="15" t="s">
        <v>8</v>
      </c>
      <c r="L42" s="3"/>
    </row>
    <row r="43" spans="1:22" ht="20.100000000000001" customHeight="1" outlineLevel="1">
      <c r="A43" s="9" t="s">
        <v>33</v>
      </c>
      <c r="B43" s="17" t="s">
        <v>50</v>
      </c>
      <c r="C43" s="17"/>
      <c r="D43" s="17"/>
      <c r="E43" s="17"/>
      <c r="F43" s="17"/>
      <c r="G43" s="17"/>
      <c r="H43" s="17"/>
      <c r="I43" s="16" t="s">
        <v>52</v>
      </c>
      <c r="J43" s="64">
        <v>210</v>
      </c>
      <c r="K43" s="15" t="s">
        <v>54</v>
      </c>
      <c r="L43" s="3"/>
    </row>
    <row r="44" spans="1:22" ht="20.100000000000001" customHeight="1" outlineLevel="1">
      <c r="A44" s="9" t="s">
        <v>34</v>
      </c>
      <c r="B44" s="8" t="s">
        <v>51</v>
      </c>
      <c r="C44" s="8"/>
      <c r="D44" s="8"/>
      <c r="E44" s="8"/>
      <c r="F44" s="8"/>
      <c r="G44" s="8"/>
      <c r="H44" s="8"/>
      <c r="I44" s="7" t="s">
        <v>53</v>
      </c>
      <c r="J44" s="62">
        <v>80.77</v>
      </c>
      <c r="K44" s="5" t="s">
        <v>54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E.1.2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4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40</v>
      </c>
      <c r="K47" s="5"/>
      <c r="L47" s="3"/>
    </row>
    <row r="48" spans="1:22" ht="20.100000000000001" customHeight="1" outlineLevel="1">
      <c r="A48" s="9" t="s">
        <v>3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7</v>
      </c>
      <c r="L48" s="3"/>
    </row>
    <row r="49" spans="1:12" ht="20.100000000000001" customHeight="1" outlineLevel="1">
      <c r="A49" s="9" t="s">
        <v>2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7</v>
      </c>
      <c r="L49" s="3"/>
    </row>
    <row r="50" spans="1:12" ht="20.100000000000001" customHeight="1" outlineLevel="1">
      <c r="A50" s="9" t="s">
        <v>6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7</v>
      </c>
      <c r="L50" s="3"/>
    </row>
    <row r="51" spans="1:12" ht="20.100000000000001" customHeight="1" outlineLevel="1">
      <c r="A51" s="9" t="s">
        <v>5</v>
      </c>
      <c r="B51" s="8" t="s">
        <v>37</v>
      </c>
      <c r="C51" s="8"/>
      <c r="D51" s="8"/>
      <c r="E51" s="8"/>
      <c r="F51" s="8"/>
      <c r="G51" s="8"/>
      <c r="H51" s="8"/>
      <c r="I51" s="7" t="s">
        <v>39</v>
      </c>
      <c r="J51" s="61">
        <v>6</v>
      </c>
      <c r="K51" s="5" t="s">
        <v>7</v>
      </c>
      <c r="L51" s="3"/>
    </row>
    <row r="52" spans="1:12" ht="20.100000000000001" customHeight="1" outlineLevel="1">
      <c r="A52" s="9" t="s">
        <v>30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33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34</v>
      </c>
      <c r="B54" s="17" t="s">
        <v>117</v>
      </c>
      <c r="C54" s="17"/>
      <c r="D54" s="17"/>
      <c r="E54" s="17"/>
      <c r="F54" s="17"/>
      <c r="G54" s="17"/>
      <c r="H54" s="17"/>
      <c r="I54" s="16" t="s">
        <v>52</v>
      </c>
      <c r="J54" s="65">
        <v>210</v>
      </c>
      <c r="K54" s="15" t="s">
        <v>54</v>
      </c>
      <c r="L54" s="3"/>
    </row>
    <row r="55" spans="1:12" ht="20.100000000000001" customHeight="1" outlineLevel="1">
      <c r="A55" s="9" t="s">
        <v>35</v>
      </c>
      <c r="B55" s="17" t="s">
        <v>32</v>
      </c>
      <c r="C55" s="17"/>
      <c r="D55" s="17"/>
      <c r="E55" s="17"/>
      <c r="F55" s="17"/>
      <c r="G55" s="17"/>
      <c r="H55" s="17"/>
      <c r="I55" s="16" t="s">
        <v>36</v>
      </c>
      <c r="J55" s="65">
        <v>2876</v>
      </c>
      <c r="K55" s="15" t="s">
        <v>8</v>
      </c>
      <c r="L55" s="3"/>
    </row>
    <row r="56" spans="1:12" ht="20.100000000000001" customHeight="1" outlineLevel="1">
      <c r="A56" s="9" t="s">
        <v>38</v>
      </c>
      <c r="B56" s="8" t="s">
        <v>41</v>
      </c>
      <c r="C56" s="8"/>
      <c r="D56" s="8"/>
      <c r="E56" s="8"/>
      <c r="F56" s="8"/>
      <c r="G56" s="8"/>
      <c r="H56" s="8"/>
      <c r="I56" s="7" t="s">
        <v>47</v>
      </c>
      <c r="J56" s="62">
        <v>86</v>
      </c>
      <c r="K56" s="5" t="s">
        <v>7</v>
      </c>
      <c r="L56" s="3"/>
    </row>
    <row r="57" spans="1:12" ht="20.100000000000001" customHeight="1" outlineLevel="1">
      <c r="A57" s="9" t="s">
        <v>49</v>
      </c>
      <c r="B57" s="8" t="s">
        <v>42</v>
      </c>
      <c r="C57" s="8"/>
      <c r="D57" s="8"/>
      <c r="E57" s="8"/>
      <c r="F57" s="8"/>
      <c r="G57" s="8"/>
      <c r="H57" s="8"/>
      <c r="I57" s="7" t="s">
        <v>48</v>
      </c>
      <c r="J57" s="62">
        <v>140</v>
      </c>
      <c r="K57" s="5" t="s">
        <v>7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E.1.3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4</v>
      </c>
      <c r="B60" s="11" t="s">
        <v>43</v>
      </c>
      <c r="C60" s="11"/>
      <c r="D60" s="11"/>
      <c r="E60" s="11"/>
      <c r="F60" s="11"/>
      <c r="G60" s="11"/>
      <c r="H60" s="11"/>
      <c r="I60" s="10" t="s">
        <v>46</v>
      </c>
      <c r="J60" s="97">
        <v>0.87601845454410032</v>
      </c>
      <c r="K60" s="93" t="s">
        <v>7</v>
      </c>
      <c r="L60" s="3"/>
    </row>
    <row r="61" spans="1:12" ht="20.100000000000001" customHeight="1" outlineLevel="1">
      <c r="A61" s="9" t="s">
        <v>3</v>
      </c>
      <c r="B61" s="8" t="s">
        <v>44</v>
      </c>
      <c r="C61" s="8"/>
      <c r="D61" s="8"/>
      <c r="E61" s="8"/>
      <c r="F61" s="8"/>
      <c r="G61" s="8"/>
      <c r="H61" s="8"/>
      <c r="I61" s="7" t="s">
        <v>45</v>
      </c>
      <c r="J61" s="98">
        <v>1963.4954084936205</v>
      </c>
      <c r="K61" s="5" t="s">
        <v>7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E.2</v>
      </c>
      <c r="B64" s="14" t="s">
        <v>55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-1436.0325204962346</v>
      </c>
      <c r="P66" s="71">
        <v>-1400.3048172876813</v>
      </c>
      <c r="Q66" s="71">
        <v>-1364.5771140791285</v>
      </c>
      <c r="R66" s="71">
        <v>-1328.8494108705754</v>
      </c>
      <c r="S66" s="71">
        <v>-1293.1217076620221</v>
      </c>
      <c r="T66" s="71">
        <v>-1257.3940044534691</v>
      </c>
      <c r="U66" s="71">
        <v>-1221.6663012449162</v>
      </c>
      <c r="V66" s="71">
        <v>-1185.9385980363629</v>
      </c>
      <c r="W66" s="71">
        <v>-1150.2108948278101</v>
      </c>
      <c r="X66" s="71">
        <v>-1114.483191619257</v>
      </c>
      <c r="Y66" s="71">
        <v>-1078.7554884107039</v>
      </c>
      <c r="Z66" s="71">
        <v>-1043.0277852021509</v>
      </c>
      <c r="AA66" s="71">
        <v>-1007.3000819935978</v>
      </c>
      <c r="AB66" s="71">
        <v>-971.57237878504463</v>
      </c>
      <c r="AC66" s="71">
        <v>-935.84467557649168</v>
      </c>
      <c r="AD66" s="71">
        <v>-900.1169723679385</v>
      </c>
      <c r="AE66" s="71">
        <v>-864.38926915938544</v>
      </c>
      <c r="AF66" s="71">
        <v>-828.66156595083248</v>
      </c>
      <c r="AG66" s="71">
        <v>-792.9338627422793</v>
      </c>
      <c r="AH66" s="71">
        <v>-757.20615953372624</v>
      </c>
      <c r="AI66" s="71">
        <v>-721.47845632517317</v>
      </c>
      <c r="AJ66" s="71">
        <v>-685.7507531166201</v>
      </c>
      <c r="AK66" s="71">
        <v>-650.02304990806715</v>
      </c>
      <c r="AL66" s="71">
        <v>-614.29534669951397</v>
      </c>
      <c r="AM66" s="71">
        <v>-578.5676434909609</v>
      </c>
      <c r="AN66" s="71">
        <v>-542.83994028240795</v>
      </c>
      <c r="AO66" s="71">
        <v>-507.11223707385477</v>
      </c>
      <c r="AP66" s="71">
        <v>-471.38453386530176</v>
      </c>
      <c r="AQ66" s="71">
        <v>-435.65683065674875</v>
      </c>
      <c r="AR66" s="71">
        <v>-399.92912744819557</v>
      </c>
      <c r="AS66" s="71">
        <v>-364.20142423964245</v>
      </c>
      <c r="AT66" s="71">
        <v>-328.47372103108955</v>
      </c>
      <c r="AU66" s="71">
        <v>-292.74601782253643</v>
      </c>
      <c r="AV66" s="71">
        <v>-257.01831461398325</v>
      </c>
      <c r="AW66" s="71">
        <v>-221.29061140543035</v>
      </c>
      <c r="AX66" s="71">
        <v>-185.56290819687723</v>
      </c>
      <c r="AY66" s="71">
        <v>-149.83520498832408</v>
      </c>
      <c r="AZ66" s="71">
        <v>-114.10750177977118</v>
      </c>
      <c r="BA66" s="71">
        <v>-78.379798571218032</v>
      </c>
      <c r="BB66" s="71">
        <v>-42.652095362664902</v>
      </c>
      <c r="BC66" s="71">
        <v>-6.9243921541117599</v>
      </c>
      <c r="BD66" s="71">
        <v>28.803311054441146</v>
      </c>
      <c r="BE66" s="71">
        <v>64.53101426299429</v>
      </c>
      <c r="BF66" s="71">
        <v>100.25871747154743</v>
      </c>
      <c r="BG66" s="71">
        <v>135.98642068010034</v>
      </c>
      <c r="BH66" s="71">
        <v>171.71412388865346</v>
      </c>
      <c r="BI66" s="71">
        <v>207.44182709720661</v>
      </c>
      <c r="BJ66" s="71">
        <v>243.16953030575951</v>
      </c>
      <c r="BK66" s="71">
        <v>278.89723351431263</v>
      </c>
      <c r="BL66" s="71">
        <v>314.62493672286581</v>
      </c>
      <c r="BM66" s="71">
        <v>350.35263993141871</v>
      </c>
      <c r="BN66" s="71">
        <v>386.08034313997183</v>
      </c>
      <c r="BO66" s="71">
        <v>421.80804634852495</v>
      </c>
      <c r="BP66" s="71">
        <v>457.53574955707791</v>
      </c>
      <c r="BQ66" s="71">
        <v>493.26345276563103</v>
      </c>
      <c r="BR66" s="71">
        <v>528.99115597418415</v>
      </c>
      <c r="BS66" s="71">
        <v>564.71885918273711</v>
      </c>
      <c r="BT66" s="71">
        <v>600.44656239129017</v>
      </c>
      <c r="BU66" s="71">
        <v>636.17426559984335</v>
      </c>
      <c r="BV66" s="71">
        <v>671.90196880839653</v>
      </c>
      <c r="BW66" s="71">
        <v>707.6296720169496</v>
      </c>
      <c r="BX66" s="71">
        <v>743.35737522550232</v>
      </c>
      <c r="BY66" s="71">
        <v>779.08507843405539</v>
      </c>
      <c r="BZ66" s="71">
        <v>814.81278164260857</v>
      </c>
      <c r="CA66" s="71">
        <v>850.54048485116175</v>
      </c>
      <c r="CB66" s="71">
        <v>886.26818805971482</v>
      </c>
      <c r="CC66" s="71">
        <v>921.995891268268</v>
      </c>
      <c r="CD66" s="71">
        <v>957.72359447682118</v>
      </c>
      <c r="CE66" s="71">
        <v>993.45129768537379</v>
      </c>
      <c r="CF66" s="71">
        <v>1029.179000893927</v>
      </c>
      <c r="CG66" s="71">
        <v>1064.90670410248</v>
      </c>
      <c r="CH66" s="71">
        <v>1100.6344073110333</v>
      </c>
      <c r="CI66" s="71">
        <v>1136.3621105195864</v>
      </c>
      <c r="CJ66" s="71">
        <v>1172.0898137281395</v>
      </c>
      <c r="CK66" s="71">
        <v>1207.8175169366921</v>
      </c>
      <c r="CL66" s="71">
        <v>1243.5452201452454</v>
      </c>
      <c r="CM66" s="71">
        <v>1279.2729233537984</v>
      </c>
      <c r="CN66" s="71">
        <v>1315.0006265623515</v>
      </c>
      <c r="CO66" s="71">
        <v>1350.7283297709048</v>
      </c>
      <c r="CP66" s="71">
        <v>1386.4560329794579</v>
      </c>
      <c r="CQ66" s="71">
        <v>1422.1837361880109</v>
      </c>
      <c r="CR66" s="71">
        <v>1457.9114393965638</v>
      </c>
      <c r="CS66" s="71">
        <v>1493.6391426051168</v>
      </c>
      <c r="CT66" s="71">
        <v>1529.3668458136699</v>
      </c>
      <c r="CU66" s="71">
        <v>1565.0945490222232</v>
      </c>
      <c r="CV66" s="71">
        <v>1600.8222522307763</v>
      </c>
      <c r="CW66" s="71">
        <v>1636.5499554393293</v>
      </c>
      <c r="CX66" s="71">
        <v>1672.2776586478822</v>
      </c>
      <c r="CY66" s="71">
        <v>1708.0053618564352</v>
      </c>
      <c r="CZ66" s="71">
        <v>1743.7330650649883</v>
      </c>
      <c r="DA66" s="71">
        <v>1779.4607682735414</v>
      </c>
      <c r="DB66" s="71">
        <v>1815.1884714820947</v>
      </c>
      <c r="DC66" s="71">
        <v>1850.9161746906477</v>
      </c>
      <c r="DD66" s="71">
        <v>1886.6438778992003</v>
      </c>
      <c r="DE66" s="71">
        <v>1922.3715811077536</v>
      </c>
      <c r="DF66" s="71">
        <v>1958.0992843163067</v>
      </c>
      <c r="DG66" s="71">
        <v>1993.8269875248598</v>
      </c>
      <c r="DH66" s="71">
        <v>2029.5546907334131</v>
      </c>
      <c r="DI66" s="71">
        <v>2065.2823939419659</v>
      </c>
      <c r="DJ66" s="71">
        <v>2101.0100971505194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2801.0982083537542</v>
      </c>
      <c r="P67" s="71">
        <v>2801.0982083537542</v>
      </c>
      <c r="Q67" s="71">
        <v>2801.0986651259545</v>
      </c>
      <c r="R67" s="71">
        <v>2801.171032993997</v>
      </c>
      <c r="S67" s="71">
        <v>2801.3668936124059</v>
      </c>
      <c r="T67" s="71">
        <v>2801.6862469811804</v>
      </c>
      <c r="U67" s="71">
        <v>2802.12909310032</v>
      </c>
      <c r="V67" s="71">
        <v>2802.6954319698257</v>
      </c>
      <c r="W67" s="71">
        <v>2803.3852635896969</v>
      </c>
      <c r="X67" s="71">
        <v>2804.1985879599342</v>
      </c>
      <c r="Y67" s="71">
        <v>2805.1354050805367</v>
      </c>
      <c r="Z67" s="71">
        <v>2806.1957149515056</v>
      </c>
      <c r="AA67" s="71">
        <v>2807.3795175728396</v>
      </c>
      <c r="AB67" s="71">
        <v>2808.6868129445393</v>
      </c>
      <c r="AC67" s="71">
        <v>2810.1176010666054</v>
      </c>
      <c r="AD67" s="71">
        <v>2811.6718819390362</v>
      </c>
      <c r="AE67" s="71">
        <v>2813.3496555618331</v>
      </c>
      <c r="AF67" s="71">
        <v>2815.1509219349959</v>
      </c>
      <c r="AG67" s="71">
        <v>2817.075681058524</v>
      </c>
      <c r="AH67" s="71">
        <v>2819.1239329324185</v>
      </c>
      <c r="AI67" s="71">
        <v>2821.2956775566781</v>
      </c>
      <c r="AJ67" s="71">
        <v>2823.5909149313038</v>
      </c>
      <c r="AK67" s="71">
        <v>2826.0096450562946</v>
      </c>
      <c r="AL67" s="71">
        <v>2828.5518679316519</v>
      </c>
      <c r="AM67" s="71">
        <v>2831.2175835573744</v>
      </c>
      <c r="AN67" s="71">
        <v>2834.0067919334624</v>
      </c>
      <c r="AO67" s="71">
        <v>2836.9194930599169</v>
      </c>
      <c r="AP67" s="71">
        <v>2839.9556869367366</v>
      </c>
      <c r="AQ67" s="71">
        <v>2843.1153735639214</v>
      </c>
      <c r="AR67" s="71">
        <v>2846.3985529414726</v>
      </c>
      <c r="AS67" s="71">
        <v>2849.8052250693895</v>
      </c>
      <c r="AT67" s="71">
        <v>2853.3353899476724</v>
      </c>
      <c r="AU67" s="71">
        <v>2856.9890475763204</v>
      </c>
      <c r="AV67" s="71">
        <v>2860.7661979553341</v>
      </c>
      <c r="AW67" s="71">
        <v>2864.6668410847142</v>
      </c>
      <c r="AX67" s="71">
        <v>2868.6909769644594</v>
      </c>
      <c r="AY67" s="71">
        <v>2872.8386055945703</v>
      </c>
      <c r="AZ67" s="71">
        <v>2877.1169944022909</v>
      </c>
      <c r="BA67" s="71">
        <v>2881.6781306275375</v>
      </c>
      <c r="BB67" s="71">
        <v>2886.5827185035923</v>
      </c>
      <c r="BC67" s="71">
        <v>2891.8307580304554</v>
      </c>
      <c r="BD67" s="71">
        <v>2897.4222492081267</v>
      </c>
      <c r="BE67" s="71">
        <v>2903.3571920366062</v>
      </c>
      <c r="BF67" s="71">
        <v>2909.6355865158939</v>
      </c>
      <c r="BG67" s="71">
        <v>2916.2574326459894</v>
      </c>
      <c r="BH67" s="71">
        <v>2923.2227304268931</v>
      </c>
      <c r="BI67" s="71">
        <v>2930.5314798586051</v>
      </c>
      <c r="BJ67" s="71">
        <v>2938.1836809411252</v>
      </c>
      <c r="BK67" s="71">
        <v>2946.1793336744531</v>
      </c>
      <c r="BL67" s="71">
        <v>2954.5184380585897</v>
      </c>
      <c r="BM67" s="71">
        <v>2963.2009940935341</v>
      </c>
      <c r="BN67" s="71">
        <v>2972.2270017792866</v>
      </c>
      <c r="BO67" s="71">
        <v>2981.5964611158479</v>
      </c>
      <c r="BP67" s="71">
        <v>2991.3093721032164</v>
      </c>
      <c r="BQ67" s="71">
        <v>3001.3657347413937</v>
      </c>
      <c r="BR67" s="71">
        <v>3011.7655490303791</v>
      </c>
      <c r="BS67" s="71">
        <v>3022.5088149701719</v>
      </c>
      <c r="BT67" s="71">
        <v>3033.5955325607738</v>
      </c>
      <c r="BU67" s="71">
        <v>3045.025701802183</v>
      </c>
      <c r="BV67" s="71">
        <v>3056.7993226944009</v>
      </c>
      <c r="BW67" s="71">
        <v>3068.9163952374265</v>
      </c>
      <c r="BX67" s="71">
        <v>3081.3769194312608</v>
      </c>
      <c r="BY67" s="71">
        <v>3094.1808952759029</v>
      </c>
      <c r="BZ67" s="71">
        <v>3107.3283227713532</v>
      </c>
      <c r="CA67" s="71">
        <v>3120.8192019176117</v>
      </c>
      <c r="CB67" s="71">
        <v>3134.6535327146785</v>
      </c>
      <c r="CC67" s="71">
        <v>3148.831315162553</v>
      </c>
      <c r="CD67" s="71">
        <v>3163.3525492612362</v>
      </c>
      <c r="CE67" s="71">
        <v>3178.2172350107267</v>
      </c>
      <c r="CF67" s="71">
        <v>3193.4253724110263</v>
      </c>
      <c r="CG67" s="71">
        <v>3208.9769614621332</v>
      </c>
      <c r="CH67" s="71">
        <v>3224.8720021640488</v>
      </c>
      <c r="CI67" s="71">
        <v>3241.1104945167722</v>
      </c>
      <c r="CJ67" s="71">
        <v>3257.6924385203038</v>
      </c>
      <c r="CK67" s="71">
        <v>3274.6178341746436</v>
      </c>
      <c r="CL67" s="71">
        <v>3291.8866814797916</v>
      </c>
      <c r="CM67" s="71">
        <v>3309.4989804357479</v>
      </c>
      <c r="CN67" s="71">
        <v>3327.4547310425123</v>
      </c>
      <c r="CO67" s="71">
        <v>3345.7539333000846</v>
      </c>
      <c r="CP67" s="71">
        <v>3364.396587208465</v>
      </c>
      <c r="CQ67" s="71">
        <v>3383.3826927676541</v>
      </c>
      <c r="CR67" s="71">
        <v>3402.7122499776506</v>
      </c>
      <c r="CS67" s="71">
        <v>3422.3852588384557</v>
      </c>
      <c r="CT67" s="71">
        <v>3442.401719350069</v>
      </c>
      <c r="CU67" s="71">
        <v>3462.7616315124901</v>
      </c>
      <c r="CV67" s="71">
        <v>3483.4649953257194</v>
      </c>
      <c r="CW67" s="71">
        <v>3504.511810789757</v>
      </c>
      <c r="CX67" s="71">
        <v>3525.9020779046027</v>
      </c>
      <c r="CY67" s="71">
        <v>3547.6357966702562</v>
      </c>
      <c r="CZ67" s="71">
        <v>3569.7129670867184</v>
      </c>
      <c r="DA67" s="71">
        <v>3592.1335891539884</v>
      </c>
      <c r="DB67" s="71">
        <v>3614.8976628720666</v>
      </c>
      <c r="DC67" s="71">
        <v>3638.005188240953</v>
      </c>
      <c r="DD67" s="71">
        <v>3661.4561652606476</v>
      </c>
      <c r="DE67" s="71">
        <v>3685.2505939311495</v>
      </c>
      <c r="DF67" s="71">
        <v>3709.3884742524606</v>
      </c>
      <c r="DG67" s="71">
        <v>3733.8698062245794</v>
      </c>
      <c r="DH67" s="71">
        <v>3758.6945898475069</v>
      </c>
      <c r="DI67" s="71">
        <v>3783.8628251212422</v>
      </c>
      <c r="DJ67" s="71">
        <v>3809.3745120457857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56</v>
      </c>
      <c r="O68" s="71">
        <v>-322.08126090496728</v>
      </c>
      <c r="P68" s="71">
        <v>-322.08126090496728</v>
      </c>
      <c r="Q68" s="71">
        <v>-322.07938630742626</v>
      </c>
      <c r="R68" s="71">
        <v>-321.782387874856</v>
      </c>
      <c r="S68" s="71">
        <v>-320.97857399664258</v>
      </c>
      <c r="T68" s="71">
        <v>-319.66794467278601</v>
      </c>
      <c r="U68" s="71">
        <v>-317.85049990328616</v>
      </c>
      <c r="V68" s="71">
        <v>-315.52623968814316</v>
      </c>
      <c r="W68" s="71">
        <v>-312.69516402735678</v>
      </c>
      <c r="X68" s="71">
        <v>-309.35727292092736</v>
      </c>
      <c r="Y68" s="71">
        <v>-305.51256636885466</v>
      </c>
      <c r="Z68" s="71">
        <v>-301.16104437113881</v>
      </c>
      <c r="AA68" s="71">
        <v>-296.3027069277797</v>
      </c>
      <c r="AB68" s="71">
        <v>-290.93755403877731</v>
      </c>
      <c r="AC68" s="71">
        <v>-285.06558570413176</v>
      </c>
      <c r="AD68" s="71">
        <v>-278.68680192384295</v>
      </c>
      <c r="AE68" s="71">
        <v>-271.80120269791109</v>
      </c>
      <c r="AF68" s="71">
        <v>-264.40878802633586</v>
      </c>
      <c r="AG68" s="71">
        <v>-256.50955790911746</v>
      </c>
      <c r="AH68" s="71">
        <v>-248.10351234625588</v>
      </c>
      <c r="AI68" s="71">
        <v>-239.19065133775106</v>
      </c>
      <c r="AJ68" s="71">
        <v>-229.77097488360303</v>
      </c>
      <c r="AK68" s="71">
        <v>-219.84448298381184</v>
      </c>
      <c r="AL68" s="71">
        <v>-209.41117563837739</v>
      </c>
      <c r="AM68" s="71">
        <v>-198.47105284729972</v>
      </c>
      <c r="AN68" s="71">
        <v>-187.02411461057886</v>
      </c>
      <c r="AO68" s="71">
        <v>-175.07036092821474</v>
      </c>
      <c r="AP68" s="71">
        <v>-162.60979180020746</v>
      </c>
      <c r="AQ68" s="71">
        <v>-149.64240722655697</v>
      </c>
      <c r="AR68" s="71">
        <v>-136.16820720726321</v>
      </c>
      <c r="AS68" s="71">
        <v>-122.18719174232626</v>
      </c>
      <c r="AT68" s="71">
        <v>-107.69936083174616</v>
      </c>
      <c r="AU68" s="71">
        <v>-92.704714475522763</v>
      </c>
      <c r="AV68" s="71">
        <v>-77.203252673656152</v>
      </c>
      <c r="AW68" s="71">
        <v>-61.194975426146456</v>
      </c>
      <c r="AX68" s="71">
        <v>-44.67988273299342</v>
      </c>
      <c r="AY68" s="71">
        <v>-27.657974594197171</v>
      </c>
      <c r="AZ68" s="71">
        <v>-10.110651450323139</v>
      </c>
      <c r="BA68" s="71">
        <v>8.3510683295792134</v>
      </c>
      <c r="BB68" s="71">
        <v>27.882545364470587</v>
      </c>
      <c r="BC68" s="71">
        <v>48.483779654350997</v>
      </c>
      <c r="BD68" s="71">
        <v>70.154771199220306</v>
      </c>
      <c r="BE68" s="71">
        <v>92.895519999078772</v>
      </c>
      <c r="BF68" s="71">
        <v>116.70602605392627</v>
      </c>
      <c r="BG68" s="71">
        <v>141.58628936376266</v>
      </c>
      <c r="BH68" s="71">
        <v>167.5363099285882</v>
      </c>
      <c r="BI68" s="71">
        <v>194.55608774840283</v>
      </c>
      <c r="BJ68" s="71">
        <v>222.64562282320628</v>
      </c>
      <c r="BK68" s="71">
        <v>251.80491515299889</v>
      </c>
      <c r="BL68" s="71">
        <v>282.03396473778059</v>
      </c>
      <c r="BM68" s="71">
        <v>313.33277157755111</v>
      </c>
      <c r="BN68" s="71">
        <v>345.7013356723109</v>
      </c>
      <c r="BO68" s="71">
        <v>379.13965702205962</v>
      </c>
      <c r="BP68" s="71">
        <v>413.64773562679721</v>
      </c>
      <c r="BQ68" s="71">
        <v>449.22557148652407</v>
      </c>
      <c r="BR68" s="71">
        <v>485.87316460123998</v>
      </c>
      <c r="BS68" s="71">
        <v>523.59051497094458</v>
      </c>
      <c r="BT68" s="71">
        <v>562.37762259563851</v>
      </c>
      <c r="BU68" s="71">
        <v>602.23448747532154</v>
      </c>
      <c r="BV68" s="71">
        <v>643.16110960999356</v>
      </c>
      <c r="BW68" s="71">
        <v>685.15748899965456</v>
      </c>
      <c r="BX68" s="71">
        <v>728.22362564430409</v>
      </c>
      <c r="BY68" s="71">
        <v>772.35951954394318</v>
      </c>
      <c r="BZ68" s="71">
        <v>817.56517069857125</v>
      </c>
      <c r="CA68" s="71">
        <v>863.84057910818842</v>
      </c>
      <c r="CB68" s="71">
        <v>911.18574477279458</v>
      </c>
      <c r="CC68" s="71">
        <v>959.60066769238983</v>
      </c>
      <c r="CD68" s="71">
        <v>1009.0853478669741</v>
      </c>
      <c r="CE68" s="71">
        <v>1059.6397852965467</v>
      </c>
      <c r="CF68" s="71">
        <v>1111.2639799811091</v>
      </c>
      <c r="CG68" s="71">
        <v>1163.9579319206605</v>
      </c>
      <c r="CH68" s="71">
        <v>1217.7216411152008</v>
      </c>
      <c r="CI68" s="71">
        <v>1272.55510756473</v>
      </c>
      <c r="CJ68" s="71">
        <v>1328.4583312692487</v>
      </c>
      <c r="CK68" s="71">
        <v>1385.4313122287556</v>
      </c>
      <c r="CL68" s="71">
        <v>1443.4740504432518</v>
      </c>
      <c r="CM68" s="71">
        <v>1502.5865459127374</v>
      </c>
      <c r="CN68" s="71">
        <v>1562.7687986372118</v>
      </c>
      <c r="CO68" s="71">
        <v>1624.0208086166756</v>
      </c>
      <c r="CP68" s="71">
        <v>1686.3425758511282</v>
      </c>
      <c r="CQ68" s="71">
        <v>1749.7341003405695</v>
      </c>
      <c r="CR68" s="71">
        <v>1814.1953820849994</v>
      </c>
      <c r="CS68" s="71">
        <v>1879.7264210844196</v>
      </c>
      <c r="CT68" s="71">
        <v>1946.3272173388279</v>
      </c>
      <c r="CU68" s="71">
        <v>2013.9977708482261</v>
      </c>
      <c r="CV68" s="71">
        <v>2082.7380816126124</v>
      </c>
      <c r="CW68" s="71">
        <v>2152.5481496319885</v>
      </c>
      <c r="CX68" s="71">
        <v>2223.4279749063526</v>
      </c>
      <c r="CY68" s="71">
        <v>2295.3775574357064</v>
      </c>
      <c r="CZ68" s="71">
        <v>2368.3968972200496</v>
      </c>
      <c r="DA68" s="71">
        <v>2442.4859942593812</v>
      </c>
      <c r="DB68" s="71">
        <v>2517.6448485537021</v>
      </c>
      <c r="DC68" s="71">
        <v>2593.8734601030123</v>
      </c>
      <c r="DD68" s="71">
        <v>2671.1718289073106</v>
      </c>
      <c r="DE68" s="71">
        <v>2749.5399549665981</v>
      </c>
      <c r="DF68" s="71">
        <v>2828.9778382808754</v>
      </c>
      <c r="DG68" s="71">
        <v>2909.4854788501416</v>
      </c>
      <c r="DH68" s="71">
        <v>2991.0628766743971</v>
      </c>
      <c r="DI68" s="71">
        <v>3073.710031753641</v>
      </c>
      <c r="DJ68" s="71">
        <v>3157.4269440878747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E.2.1</v>
      </c>
      <c r="B82" s="12" t="s">
        <v>57</v>
      </c>
      <c r="C82" s="12"/>
      <c r="D82" s="12"/>
      <c r="E82" s="12"/>
      <c r="F82" s="12"/>
      <c r="G82" s="12"/>
      <c r="H82" s="12"/>
      <c r="I82" s="12"/>
      <c r="J82" s="77" t="s">
        <v>58</v>
      </c>
      <c r="K82" s="78" t="s">
        <v>59</v>
      </c>
      <c r="L82" s="3"/>
    </row>
    <row r="83" spans="1:14" ht="20.100000000000001" customHeight="1" outlineLevel="1">
      <c r="A83" s="9" t="s">
        <v>4</v>
      </c>
      <c r="B83" s="11" t="s">
        <v>318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3</v>
      </c>
      <c r="B84" s="8" t="s">
        <v>60</v>
      </c>
      <c r="C84" s="8"/>
      <c r="D84" s="8"/>
      <c r="E84" s="8"/>
      <c r="F84" s="8"/>
      <c r="G84" s="8"/>
      <c r="H84" s="8"/>
      <c r="I84" s="7"/>
      <c r="J84" s="79">
        <v>2000.9619972862092</v>
      </c>
      <c r="K84" s="79">
        <v>3738.8</v>
      </c>
      <c r="L84" s="3"/>
    </row>
    <row r="85" spans="1:14" ht="20.100000000000001" customHeight="1" outlineLevel="1">
      <c r="A85" s="9" t="s">
        <v>2</v>
      </c>
      <c r="B85" s="8" t="s">
        <v>61</v>
      </c>
      <c r="C85" s="8"/>
      <c r="D85" s="8"/>
      <c r="E85" s="8"/>
      <c r="F85" s="8"/>
      <c r="G85" s="8"/>
      <c r="H85" s="8"/>
      <c r="I85" s="7"/>
      <c r="J85" s="79">
        <v>251.15459961508168</v>
      </c>
      <c r="K85" s="79">
        <v>2939.9408906954832</v>
      </c>
      <c r="L85" s="3"/>
    </row>
    <row r="86" spans="1:14" ht="20.100000000000001" customHeight="1" outlineLevel="1">
      <c r="A86" s="9" t="s">
        <v>6</v>
      </c>
      <c r="B86" s="8" t="s">
        <v>63</v>
      </c>
      <c r="C86" s="8"/>
      <c r="D86" s="8"/>
      <c r="E86" s="8"/>
      <c r="F86" s="8"/>
      <c r="G86" s="8"/>
      <c r="H86" s="8"/>
      <c r="I86" s="7"/>
      <c r="J86" s="79">
        <v>-1367.6500195202234</v>
      </c>
      <c r="K86" s="79">
        <v>2801.0982083537542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E.2.2</v>
      </c>
      <c r="B88" s="12" t="s">
        <v>62</v>
      </c>
      <c r="C88" s="12"/>
      <c r="D88" s="12"/>
      <c r="E88" s="12"/>
      <c r="F88" s="12"/>
      <c r="G88" s="12"/>
      <c r="H88" s="12"/>
      <c r="I88" s="78" t="s">
        <v>93</v>
      </c>
      <c r="J88" s="77" t="s">
        <v>66</v>
      </c>
      <c r="K88" s="78" t="s">
        <v>67</v>
      </c>
      <c r="L88" s="3"/>
    </row>
    <row r="89" spans="1:14" ht="20.100000000000001" customHeight="1" outlineLevel="1">
      <c r="A89" s="9" t="s">
        <v>4</v>
      </c>
      <c r="B89" s="11" t="s">
        <v>320</v>
      </c>
      <c r="C89" s="11"/>
      <c r="D89" s="11"/>
      <c r="E89" s="11"/>
      <c r="F89" s="11"/>
      <c r="G89" s="11"/>
      <c r="H89" s="11"/>
      <c r="I89" s="80">
        <v>2892887.6140937447</v>
      </c>
      <c r="J89" s="80">
        <v>0.15355954292157073</v>
      </c>
      <c r="K89" s="80">
        <v>1.3453194356000459E-7</v>
      </c>
      <c r="L89" s="3"/>
      <c r="N89" s="1" t="s">
        <v>317</v>
      </c>
    </row>
    <row r="90" spans="1:14" ht="20.100000000000001" customHeight="1" outlineLevel="1">
      <c r="A90" s="9" t="s">
        <v>3</v>
      </c>
      <c r="B90" s="8" t="s">
        <v>64</v>
      </c>
      <c r="C90" s="8"/>
      <c r="D90" s="8"/>
      <c r="E90" s="8"/>
      <c r="F90" s="8"/>
      <c r="G90" s="8"/>
      <c r="H90" s="8"/>
      <c r="I90" s="80">
        <v>2891577.9232383613</v>
      </c>
      <c r="J90" s="80">
        <v>0.13231413533170963</v>
      </c>
      <c r="K90" s="80">
        <v>4.8372804973207223E-8</v>
      </c>
      <c r="L90" s="3"/>
    </row>
    <row r="91" spans="1:14" ht="20.100000000000001" customHeight="1" outlineLevel="1">
      <c r="A91" s="9" t="s">
        <v>2</v>
      </c>
      <c r="B91" s="8" t="s">
        <v>65</v>
      </c>
      <c r="C91" s="8"/>
      <c r="D91" s="8"/>
      <c r="E91" s="8"/>
      <c r="F91" s="8"/>
      <c r="G91" s="8"/>
      <c r="H91" s="8"/>
      <c r="I91" s="80">
        <v>2801098.2083537541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E.3</v>
      </c>
      <c r="B94" s="14" t="s">
        <v>68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8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8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8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8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8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8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8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8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8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8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8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8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8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8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8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  <c r="Q111" s="70" t="s">
        <v>297</v>
      </c>
      <c r="R111" s="137">
        <v>0.45</v>
      </c>
    </row>
    <row r="112" spans="1:18" ht="20.100000000000001" customHeight="1" outlineLevel="1">
      <c r="A112" s="75" t="str">
        <f>$A$94&amp;"."&amp;1</f>
        <v>E.3.1</v>
      </c>
      <c r="B112" s="12" t="s">
        <v>57</v>
      </c>
      <c r="C112" s="12"/>
      <c r="D112" s="12"/>
      <c r="E112" s="12"/>
      <c r="F112" s="12"/>
      <c r="G112" s="12"/>
      <c r="H112" s="12"/>
      <c r="I112" s="12"/>
      <c r="J112" s="77" t="s">
        <v>58</v>
      </c>
      <c r="K112" s="78" t="s">
        <v>69</v>
      </c>
      <c r="L112" s="3"/>
      <c r="Q112" s="70" t="s">
        <v>298</v>
      </c>
      <c r="R112" s="137">
        <f>R111/2/(J113-J116)</f>
        <v>1.808160804193029E-4</v>
      </c>
    </row>
    <row r="113" spans="1:21" ht="20.100000000000001" customHeight="1" outlineLevel="1">
      <c r="A113" s="9" t="s">
        <v>4</v>
      </c>
      <c r="B113" s="11" t="s">
        <v>318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-14.683581282062306</v>
      </c>
      <c r="L113" s="3"/>
      <c r="Q113" s="70" t="s">
        <v>299</v>
      </c>
      <c r="R113" s="1">
        <f>R111-2*R112*J113</f>
        <v>0.49458623183005979</v>
      </c>
    </row>
    <row r="114" spans="1:21" ht="20.100000000000001" customHeight="1" outlineLevel="1">
      <c r="A114" s="9" t="s">
        <v>3</v>
      </c>
      <c r="B114" s="8" t="s">
        <v>60</v>
      </c>
      <c r="C114" s="8"/>
      <c r="D114" s="8"/>
      <c r="E114" s="8"/>
      <c r="F114" s="8"/>
      <c r="G114" s="8"/>
      <c r="H114" s="8"/>
      <c r="I114" s="7"/>
      <c r="J114" s="79">
        <f>point2.Z</f>
        <v>2000.9619972862092</v>
      </c>
      <c r="K114" s="79">
        <v>2925.6914272182976</v>
      </c>
      <c r="L114" s="3"/>
      <c r="Q114" s="70" t="s">
        <v>300</v>
      </c>
      <c r="R114" s="1">
        <f>point1.Ms-R113*J113-R112*J113^2</f>
        <v>43.546224134294924</v>
      </c>
    </row>
    <row r="115" spans="1:21" ht="20.100000000000001" customHeight="1" outlineLevel="1">
      <c r="A115" s="9" t="s">
        <v>2</v>
      </c>
      <c r="B115" s="8" t="s">
        <v>61</v>
      </c>
      <c r="C115" s="8"/>
      <c r="D115" s="8"/>
      <c r="E115" s="8"/>
      <c r="F115" s="8"/>
      <c r="G115" s="8"/>
      <c r="H115" s="8"/>
      <c r="I115" s="7"/>
      <c r="J115" s="79">
        <f>point3.Z</f>
        <v>251.15459961508168</v>
      </c>
      <c r="K115" s="79">
        <v>229.06983922057111</v>
      </c>
      <c r="L115" s="3"/>
      <c r="Q115" s="1" t="s">
        <v>301</v>
      </c>
      <c r="R115" s="1">
        <f>R114+R113*J116+R112*J116^2</f>
        <v>-294.66421067411261</v>
      </c>
    </row>
    <row r="116" spans="1:21" ht="20.100000000000001" customHeight="1" outlineLevel="1">
      <c r="A116" s="9" t="s">
        <v>6</v>
      </c>
      <c r="B116" s="8" t="s">
        <v>63</v>
      </c>
      <c r="C116" s="8"/>
      <c r="D116" s="8"/>
      <c r="E116" s="8"/>
      <c r="F116" s="8"/>
      <c r="G116" s="8"/>
      <c r="H116" s="8"/>
      <c r="I116" s="7"/>
      <c r="J116" s="79">
        <f>point4.Z</f>
        <v>-1367.6500195202234</v>
      </c>
      <c r="K116" s="79">
        <v>-322.08126090496728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E.3.2</v>
      </c>
      <c r="B118" s="12" t="s">
        <v>62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66</v>
      </c>
      <c r="K118" s="78" t="s">
        <v>67</v>
      </c>
      <c r="L118" s="3"/>
    </row>
    <row r="119" spans="1:21" ht="20.100000000000001" customHeight="1" outlineLevel="1">
      <c r="A119" s="9" t="s">
        <v>4</v>
      </c>
      <c r="B119" s="11" t="s">
        <v>320</v>
      </c>
      <c r="C119" s="11"/>
      <c r="D119" s="11"/>
      <c r="E119" s="11"/>
      <c r="F119" s="11"/>
      <c r="G119" s="11"/>
      <c r="H119" s="11"/>
      <c r="I119" s="80">
        <v>52.600264560469881</v>
      </c>
      <c r="J119" s="80">
        <v>5.9739196292261628E-4</v>
      </c>
      <c r="K119" s="80">
        <v>4.1902993423515274E-10</v>
      </c>
      <c r="L119" s="3"/>
    </row>
    <row r="120" spans="1:21" ht="20.100000000000001" customHeight="1" outlineLevel="1">
      <c r="A120" s="9" t="s">
        <v>3</v>
      </c>
      <c r="B120" s="8" t="s">
        <v>64</v>
      </c>
      <c r="C120" s="8"/>
      <c r="D120" s="8"/>
      <c r="E120" s="8"/>
      <c r="F120" s="8"/>
      <c r="G120" s="8"/>
      <c r="H120" s="8"/>
      <c r="I120" s="80">
        <v>49.248366827165427</v>
      </c>
      <c r="J120" s="80">
        <v>5.4301849512991128E-4</v>
      </c>
      <c r="K120" s="80">
        <v>1.9852246092915063E-10</v>
      </c>
      <c r="L120" s="3"/>
    </row>
    <row r="121" spans="1:21" ht="20.100000000000001" customHeight="1" outlineLevel="1">
      <c r="A121" s="9" t="s">
        <v>2</v>
      </c>
      <c r="B121" s="8" t="s">
        <v>65</v>
      </c>
      <c r="C121" s="8"/>
      <c r="D121" s="8"/>
      <c r="E121" s="8"/>
      <c r="F121" s="8"/>
      <c r="G121" s="8"/>
      <c r="H121" s="8"/>
      <c r="I121" s="80">
        <v>-322.08126090496728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E.4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E.4.1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4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3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0.28773533056547312</v>
      </c>
      <c r="K128" s="93" t="s">
        <v>7</v>
      </c>
      <c r="L128" s="3"/>
      <c r="U128" s="99"/>
    </row>
    <row r="129" spans="1:21" ht="20.100000000000001" customHeight="1">
      <c r="A129" s="9" t="s">
        <v>2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1.2162355202035973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E.4.1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4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1.8</v>
      </c>
      <c r="K132" s="5" t="s">
        <v>85</v>
      </c>
      <c r="L132" s="3"/>
      <c r="U132" s="99"/>
    </row>
    <row r="133" spans="1:21" ht="20.100000000000001" customHeight="1">
      <c r="A133" s="9" t="s">
        <v>3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51">
        <v>5169.2082946490964</v>
      </c>
      <c r="K133" s="5" t="s">
        <v>80</v>
      </c>
      <c r="L133" s="3"/>
      <c r="U133" s="99"/>
    </row>
    <row r="134" spans="1:21" ht="20.100000000000001" customHeight="1">
      <c r="A134" s="9" t="s">
        <v>2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87000.000000000029</v>
      </c>
      <c r="K134" s="5" t="s">
        <v>218</v>
      </c>
      <c r="L134" s="3"/>
      <c r="U134" s="99"/>
    </row>
    <row r="135" spans="1:21" ht="20.100000000000001" customHeight="1">
      <c r="A135" s="9" t="s">
        <v>6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52">
        <v>290000000.00000006</v>
      </c>
      <c r="K135" s="5" t="s">
        <v>288</v>
      </c>
      <c r="L135" s="3"/>
      <c r="U135" s="99"/>
    </row>
    <row r="136" spans="1:21" ht="20.100000000000001" customHeight="1">
      <c r="A136" s="9" t="s">
        <v>5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51">
        <v>1483.8038863767938</v>
      </c>
      <c r="K136" s="5" t="s">
        <v>80</v>
      </c>
      <c r="L136" s="3"/>
      <c r="U136" s="99"/>
    </row>
    <row r="137" spans="1:21" ht="20.100000000000001" customHeight="1">
      <c r="A137" s="9" t="s">
        <v>30</v>
      </c>
      <c r="B137" s="8" t="s">
        <v>78</v>
      </c>
      <c r="C137" s="8"/>
      <c r="D137" s="8"/>
      <c r="E137" s="8"/>
      <c r="F137" s="8"/>
      <c r="G137" s="8"/>
      <c r="H137" s="8"/>
      <c r="I137" s="7" t="s">
        <v>79</v>
      </c>
      <c r="J137" s="62">
        <v>14636.626798256961</v>
      </c>
      <c r="K137" s="5" t="s">
        <v>80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E.4.2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4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0.41432340368180404</v>
      </c>
      <c r="K140" s="5" t="s">
        <v>7</v>
      </c>
      <c r="L140" s="3"/>
      <c r="U140" s="99"/>
    </row>
    <row r="141" spans="1:21" ht="20.100000000000001" customHeight="1">
      <c r="A141" s="9" t="s">
        <v>3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10244.96531616569</v>
      </c>
      <c r="K141" s="5" t="s">
        <v>80</v>
      </c>
      <c r="L141" s="3"/>
      <c r="U141" s="99"/>
    </row>
    <row r="142" spans="1:21" ht="20.100000000000001" customHeight="1">
      <c r="A142" s="9" t="s">
        <v>2</v>
      </c>
      <c r="B142" s="8" t="s">
        <v>83</v>
      </c>
      <c r="C142" s="8"/>
      <c r="D142" s="8"/>
      <c r="E142" s="8"/>
      <c r="F142" s="8"/>
      <c r="G142" s="8"/>
      <c r="H142" s="8"/>
      <c r="I142" s="82" t="s">
        <v>84</v>
      </c>
      <c r="J142" s="6">
        <v>2.4286653342946511</v>
      </c>
      <c r="K142" s="5" t="s">
        <v>85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E.4.3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4</v>
      </c>
      <c r="B145" s="8" t="s">
        <v>72</v>
      </c>
      <c r="C145" s="8"/>
      <c r="D145" s="8"/>
      <c r="E145" s="8"/>
      <c r="F145" s="8"/>
      <c r="G145" s="8"/>
      <c r="H145" s="8"/>
      <c r="I145" s="7" t="s">
        <v>73</v>
      </c>
      <c r="J145" s="62">
        <v>2068.2520235998149</v>
      </c>
      <c r="K145" s="5" t="s">
        <v>8</v>
      </c>
      <c r="L145" s="3"/>
      <c r="U145" s="101"/>
    </row>
    <row r="146" spans="1:21" ht="20.100000000000001" customHeight="1">
      <c r="A146" s="9" t="s">
        <v>3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823.89367074625841</v>
      </c>
      <c r="K146" s="5" t="s">
        <v>8</v>
      </c>
      <c r="L146" s="3"/>
      <c r="U146" s="101"/>
    </row>
    <row r="147" spans="1:21" ht="20.100000000000001" customHeight="1">
      <c r="A147" s="9" t="s">
        <v>2</v>
      </c>
      <c r="B147" s="8" t="s">
        <v>329</v>
      </c>
      <c r="C147" s="8"/>
      <c r="D147" s="8"/>
      <c r="E147" s="8"/>
      <c r="F147" s="8"/>
      <c r="G147" s="8"/>
      <c r="H147" s="8"/>
      <c r="I147" s="81" t="s">
        <v>330</v>
      </c>
      <c r="J147" s="62">
        <v>0</v>
      </c>
      <c r="K147" s="5" t="s">
        <v>8</v>
      </c>
      <c r="L147" s="3"/>
      <c r="U147" s="101"/>
    </row>
    <row r="148" spans="1:21" ht="20.100000000000001" customHeight="1">
      <c r="A148" s="9" t="s">
        <v>6</v>
      </c>
      <c r="B148" s="8" t="s">
        <v>81</v>
      </c>
      <c r="C148" s="8"/>
      <c r="D148" s="8"/>
      <c r="E148" s="8"/>
      <c r="F148" s="8"/>
      <c r="G148" s="8"/>
      <c r="H148" s="8"/>
      <c r="I148" s="81" t="s">
        <v>82</v>
      </c>
      <c r="J148" s="62">
        <v>-1244.3583528535567</v>
      </c>
      <c r="K148" s="5" t="s">
        <v>8</v>
      </c>
      <c r="L148" s="3"/>
    </row>
    <row r="149" spans="1:21" ht="20.100000000000001" customHeight="1">
      <c r="A149" s="9" t="s">
        <v>5</v>
      </c>
      <c r="B149" s="8" t="s">
        <v>346</v>
      </c>
      <c r="C149" s="8"/>
      <c r="D149" s="8"/>
      <c r="E149" s="8"/>
      <c r="F149" s="8"/>
      <c r="G149" s="8"/>
      <c r="H149" s="8"/>
      <c r="I149" s="81" t="s">
        <v>347</v>
      </c>
      <c r="J149" s="62">
        <v>-1244.3583528535567</v>
      </c>
      <c r="K149" s="5" t="s">
        <v>8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E.4.4</v>
      </c>
      <c r="B151" s="12" t="s">
        <v>254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4</v>
      </c>
      <c r="B152" s="8" t="s">
        <v>86</v>
      </c>
      <c r="C152" s="8"/>
      <c r="D152" s="8"/>
      <c r="E152" s="8"/>
      <c r="F152" s="8"/>
      <c r="G152" s="8"/>
      <c r="H152" s="8"/>
      <c r="I152" s="81" t="s">
        <v>87</v>
      </c>
      <c r="J152" s="67">
        <v>0.14230099316700437</v>
      </c>
      <c r="K152" s="5" t="s">
        <v>85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E.4.5</v>
      </c>
      <c r="B154" s="12" t="s">
        <v>255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233</v>
      </c>
      <c r="N154" s="78" t="s">
        <v>226</v>
      </c>
      <c r="O154" s="78">
        <v>1</v>
      </c>
      <c r="P154" s="78" t="s">
        <v>227</v>
      </c>
      <c r="Q154" s="78" t="s">
        <v>228</v>
      </c>
      <c r="R154" s="78" t="s">
        <v>229</v>
      </c>
      <c r="S154" s="78" t="s">
        <v>230</v>
      </c>
      <c r="U154" s="99"/>
    </row>
    <row r="155" spans="1:21" ht="20.100000000000001" customHeight="1">
      <c r="A155" s="9" t="s">
        <v>4</v>
      </c>
      <c r="B155" s="8" t="s">
        <v>221</v>
      </c>
      <c r="C155" s="8"/>
      <c r="D155" s="8"/>
      <c r="E155" s="8"/>
      <c r="F155" s="8"/>
      <c r="G155" s="8"/>
      <c r="H155" s="8"/>
      <c r="I155" s="7" t="s">
        <v>234</v>
      </c>
      <c r="J155" s="62">
        <v>1710.5339527007882</v>
      </c>
      <c r="K155" s="5" t="s">
        <v>222</v>
      </c>
      <c r="L155" s="3"/>
      <c r="M155" s="70" t="s">
        <v>232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224</v>
      </c>
      <c r="U155" s="99"/>
    </row>
    <row r="156" spans="1:21" ht="20.100000000000001" customHeight="1">
      <c r="A156" s="9" t="s">
        <v>3</v>
      </c>
      <c r="B156" s="8" t="s">
        <v>76</v>
      </c>
      <c r="C156" s="8"/>
      <c r="D156" s="8"/>
      <c r="E156" s="8"/>
      <c r="F156" s="8"/>
      <c r="G156" s="8"/>
      <c r="H156" s="8"/>
      <c r="I156" s="7" t="s">
        <v>236</v>
      </c>
      <c r="J156" s="62">
        <v>600.85776552878792</v>
      </c>
      <c r="K156" s="5" t="s">
        <v>77</v>
      </c>
      <c r="L156" s="3"/>
      <c r="M156" s="70" t="s">
        <v>231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223</v>
      </c>
      <c r="U156" s="99"/>
    </row>
    <row r="157" spans="1:21" ht="20.100000000000001" customHeight="1">
      <c r="A157" s="9" t="s">
        <v>2</v>
      </c>
      <c r="B157" s="8" t="s">
        <v>283</v>
      </c>
      <c r="C157" s="8"/>
      <c r="D157" s="8"/>
      <c r="E157" s="8"/>
      <c r="F157" s="8"/>
      <c r="G157" s="8"/>
      <c r="H157" s="8"/>
      <c r="I157" s="7" t="s">
        <v>219</v>
      </c>
      <c r="J157" s="62">
        <v>4344.0537979949813</v>
      </c>
      <c r="K157" s="5" t="s">
        <v>218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E.4.6</v>
      </c>
      <c r="B159" s="12" t="s">
        <v>239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4</v>
      </c>
      <c r="B160" s="11" t="s">
        <v>237</v>
      </c>
      <c r="C160" s="11"/>
      <c r="D160" s="11"/>
      <c r="E160" s="11"/>
      <c r="F160" s="11"/>
      <c r="G160" s="11"/>
      <c r="H160" s="11"/>
      <c r="I160" s="10" t="s">
        <v>238</v>
      </c>
      <c r="J160" s="92">
        <v>29.999999999999996</v>
      </c>
      <c r="K160" s="93" t="s">
        <v>215</v>
      </c>
      <c r="L160" s="3"/>
      <c r="U160" s="99"/>
    </row>
    <row r="161" spans="1:21" ht="20.100000000000001" customHeight="1">
      <c r="A161" s="9" t="s">
        <v>3</v>
      </c>
      <c r="B161" s="8" t="s">
        <v>70</v>
      </c>
      <c r="C161" s="8"/>
      <c r="D161" s="8"/>
      <c r="E161" s="8"/>
      <c r="F161" s="8"/>
      <c r="G161" s="8"/>
      <c r="H161" s="8"/>
      <c r="I161" s="7" t="s">
        <v>71</v>
      </c>
      <c r="J161" s="64">
        <v>225.55390100553569</v>
      </c>
      <c r="K161" s="5" t="s">
        <v>7</v>
      </c>
      <c r="L161" s="3"/>
      <c r="U161" s="100"/>
    </row>
    <row r="162" spans="1:21" ht="20.100000000000001" customHeight="1">
      <c r="A162" s="9" t="s">
        <v>2</v>
      </c>
      <c r="B162" s="8" t="s">
        <v>292</v>
      </c>
      <c r="C162" s="8"/>
      <c r="D162" s="8"/>
      <c r="E162" s="8"/>
      <c r="F162" s="8"/>
      <c r="G162" s="8"/>
      <c r="H162" s="8"/>
      <c r="I162" s="7" t="s">
        <v>291</v>
      </c>
      <c r="J162" s="64">
        <v>112.77695050276785</v>
      </c>
      <c r="K162" s="5" t="s">
        <v>7</v>
      </c>
      <c r="L162" s="3"/>
      <c r="U162" s="100"/>
    </row>
    <row r="163" spans="1:21" ht="20.100000000000001" customHeight="1">
      <c r="A163" s="9" t="s">
        <v>6</v>
      </c>
      <c r="B163" s="8" t="s">
        <v>293</v>
      </c>
      <c r="C163" s="8"/>
      <c r="D163" s="8"/>
      <c r="E163" s="8"/>
      <c r="F163" s="8"/>
      <c r="G163" s="8"/>
      <c r="H163" s="8"/>
      <c r="I163" s="7" t="s">
        <v>294</v>
      </c>
      <c r="J163" s="152">
        <v>123831110.42899768</v>
      </c>
      <c r="K163" s="5" t="s">
        <v>288</v>
      </c>
      <c r="L163" s="3"/>
      <c r="U163" s="100"/>
    </row>
    <row r="164" spans="1:21" ht="20.100000000000001" customHeight="1">
      <c r="A164" s="9" t="s">
        <v>5</v>
      </c>
      <c r="B164" s="8" t="s">
        <v>225</v>
      </c>
      <c r="C164" s="8"/>
      <c r="D164" s="8"/>
      <c r="E164" s="8"/>
      <c r="F164" s="8"/>
      <c r="G164" s="8"/>
      <c r="H164" s="8"/>
      <c r="I164" s="7" t="s">
        <v>235</v>
      </c>
      <c r="J164" s="92">
        <v>10310.000230734646</v>
      </c>
      <c r="K164" s="5" t="s">
        <v>222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30</v>
      </c>
      <c r="B165" s="17" t="s">
        <v>88</v>
      </c>
      <c r="C165" s="17"/>
      <c r="D165" s="17"/>
      <c r="E165" s="17"/>
      <c r="F165" s="17"/>
      <c r="G165" s="17"/>
      <c r="H165" s="17"/>
      <c r="I165" s="83" t="s">
        <v>89</v>
      </c>
      <c r="J165" s="84">
        <v>0.12038620783873294</v>
      </c>
      <c r="K165" s="15" t="s">
        <v>85</v>
      </c>
      <c r="L165" s="3"/>
    </row>
    <row r="166" spans="1:21" ht="20.100000000000001" customHeight="1">
      <c r="A166" s="9" t="s">
        <v>33</v>
      </c>
      <c r="B166" s="8" t="s">
        <v>90</v>
      </c>
      <c r="C166" s="8"/>
      <c r="D166" s="8"/>
      <c r="E166" s="8"/>
      <c r="F166" s="8"/>
      <c r="G166" s="8"/>
      <c r="H166" s="8"/>
      <c r="I166" s="7" t="s">
        <v>91</v>
      </c>
      <c r="J166" s="66">
        <v>0.49406616497246486</v>
      </c>
      <c r="K166" s="5" t="s">
        <v>85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28:K28"/>
    <mergeCell ref="A3:K3"/>
    <mergeCell ref="B4:G4"/>
    <mergeCell ref="B5:G5"/>
    <mergeCell ref="B6:G6"/>
    <mergeCell ref="B7:G7"/>
    <mergeCell ref="B8:G8"/>
    <mergeCell ref="B9:G9"/>
    <mergeCell ref="B18:C18"/>
    <mergeCell ref="D18:K18"/>
    <mergeCell ref="D13:K13"/>
    <mergeCell ref="B14:C14"/>
    <mergeCell ref="D14:K14"/>
    <mergeCell ref="B16:C16"/>
    <mergeCell ref="D16:K16"/>
    <mergeCell ref="B17:C17"/>
    <mergeCell ref="D17:K17"/>
    <mergeCell ref="B15:C15"/>
    <mergeCell ref="D15:K15"/>
    <mergeCell ref="B13:C13"/>
  </mergeCells>
  <conditionalFormatting sqref="K64">
    <cfRule type="cellIs" dxfId="27" priority="5" stopIfTrue="1" operator="between">
      <formula>0</formula>
      <formula>1</formula>
    </cfRule>
  </conditionalFormatting>
  <conditionalFormatting sqref="K94">
    <cfRule type="cellIs" dxfId="26" priority="2" stopIfTrue="1" operator="between">
      <formula>0</formula>
      <formula>1</formula>
    </cfRule>
  </conditionalFormatting>
  <conditionalFormatting sqref="K124">
    <cfRule type="cellIs" dxfId="25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8728-A6E7-4515-9EF6-E21BB5BD08C0}">
  <sheetPr codeName="Sheet2">
    <pageSetUpPr fitToPage="1"/>
  </sheetPr>
  <dimension ref="A1:DJ180"/>
  <sheetViews>
    <sheetView showGridLines="0" zoomScaleNormal="100" workbookViewId="0">
      <pane ySplit="1" topLeftCell="A132" activePane="bottomLeft" state="frozen"/>
      <selection pane="bottomLeft" activeCell="J149" sqref="J149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19</v>
      </c>
      <c r="C1" s="56"/>
      <c r="D1" s="56"/>
      <c r="E1" s="56"/>
      <c r="F1" s="56"/>
      <c r="G1" s="56"/>
      <c r="H1" s="55"/>
      <c r="I1" s="55"/>
      <c r="J1" s="54" t="s">
        <v>18</v>
      </c>
      <c r="K1" s="53" t="s">
        <v>17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1" t="s">
        <v>16</v>
      </c>
      <c r="B3" s="162"/>
      <c r="C3" s="162"/>
      <c r="D3" s="162"/>
      <c r="E3" s="162"/>
      <c r="F3" s="162"/>
      <c r="G3" s="162"/>
      <c r="H3" s="162"/>
      <c r="I3" s="162"/>
      <c r="J3" s="162"/>
      <c r="K3" s="162"/>
    </row>
    <row r="4" spans="1:15" s="46" customFormat="1" ht="20.100000000000001" hidden="1" customHeight="1" outlineLevel="1">
      <c r="A4" s="47" t="s">
        <v>15</v>
      </c>
      <c r="B4" s="163" t="s">
        <v>14</v>
      </c>
      <c r="C4" s="163"/>
      <c r="D4" s="163"/>
      <c r="E4" s="163"/>
      <c r="F4" s="163"/>
      <c r="G4" s="163"/>
      <c r="H4" s="47" t="s">
        <v>13</v>
      </c>
      <c r="I4" s="47" t="s">
        <v>12</v>
      </c>
      <c r="J4" s="47" t="s">
        <v>11</v>
      </c>
      <c r="K4" s="47" t="s">
        <v>10</v>
      </c>
    </row>
    <row r="5" spans="1:15" s="41" customFormat="1" ht="20.100000000000001" hidden="1" customHeight="1" outlineLevel="1">
      <c r="A5" s="45"/>
      <c r="B5" s="155"/>
      <c r="C5" s="156"/>
      <c r="D5" s="156"/>
      <c r="E5" s="156"/>
      <c r="F5" s="156"/>
      <c r="G5" s="157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55"/>
      <c r="C6" s="156"/>
      <c r="D6" s="156"/>
      <c r="E6" s="156"/>
      <c r="F6" s="156"/>
      <c r="G6" s="157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55"/>
      <c r="C7" s="156"/>
      <c r="D7" s="156"/>
      <c r="E7" s="156"/>
      <c r="F7" s="156"/>
      <c r="G7" s="157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55"/>
      <c r="C8" s="156"/>
      <c r="D8" s="156"/>
      <c r="E8" s="156"/>
      <c r="F8" s="156"/>
      <c r="G8" s="157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55"/>
      <c r="C9" s="156"/>
      <c r="D9" s="156"/>
      <c r="E9" s="156"/>
      <c r="F9" s="156"/>
      <c r="G9" s="157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324</v>
      </c>
      <c r="B11" s="37" t="s">
        <v>323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58" t="s">
        <v>100</v>
      </c>
      <c r="C13" s="158"/>
      <c r="D13" s="160" t="str">
        <f>Gap30deg!D13</f>
        <v>SP2200052</v>
      </c>
      <c r="E13" s="160"/>
      <c r="F13" s="160"/>
      <c r="G13" s="160"/>
      <c r="H13" s="160"/>
      <c r="I13" s="160"/>
      <c r="J13" s="160"/>
      <c r="K13" s="160"/>
      <c r="L13" s="86"/>
    </row>
    <row r="14" spans="1:15" s="85" customFormat="1" ht="20.100000000000001" customHeight="1" outlineLevel="1">
      <c r="A14" s="87"/>
      <c r="B14" s="158" t="s">
        <v>99</v>
      </c>
      <c r="C14" s="158"/>
      <c r="D14" s="160" t="str">
        <f>Gap30deg!D14</f>
        <v>Stichting GROW</v>
      </c>
      <c r="E14" s="160"/>
      <c r="F14" s="160"/>
      <c r="G14" s="160"/>
      <c r="H14" s="160"/>
      <c r="I14" s="160"/>
      <c r="J14" s="160"/>
      <c r="K14" s="160"/>
      <c r="L14" s="86"/>
    </row>
    <row r="15" spans="1:15" s="85" customFormat="1" ht="20.100000000000001" customHeight="1" outlineLevel="1">
      <c r="A15" s="87"/>
      <c r="B15" s="158" t="s">
        <v>98</v>
      </c>
      <c r="C15" s="158"/>
      <c r="D15" s="160" t="str">
        <f>Gap30deg!D15</f>
        <v>Bolt and Beautiful</v>
      </c>
      <c r="E15" s="160"/>
      <c r="F15" s="160"/>
      <c r="G15" s="160"/>
      <c r="H15" s="160"/>
      <c r="I15" s="160"/>
      <c r="J15" s="160"/>
      <c r="K15" s="160"/>
      <c r="L15" s="86"/>
    </row>
    <row r="16" spans="1:15" s="85" customFormat="1" ht="20.100000000000001" customHeight="1" outlineLevel="1">
      <c r="A16" s="87"/>
      <c r="B16" s="158" t="s">
        <v>97</v>
      </c>
      <c r="C16" s="158"/>
      <c r="D16" s="160" t="str">
        <f>Title</f>
        <v>Flange Segment Analytical Model for 60° gap size ans shape factor 1.2</v>
      </c>
      <c r="E16" s="160"/>
      <c r="F16" s="160"/>
      <c r="G16" s="160"/>
      <c r="H16" s="160"/>
      <c r="I16" s="160"/>
      <c r="J16" s="160"/>
      <c r="K16" s="160"/>
      <c r="L16" s="86"/>
      <c r="M16" s="88"/>
    </row>
    <row r="17" spans="1:22" s="85" customFormat="1" ht="20.100000000000001" customHeight="1" outlineLevel="1">
      <c r="A17" s="87"/>
      <c r="B17" s="158" t="s">
        <v>96</v>
      </c>
      <c r="C17" s="158"/>
      <c r="D17" s="160">
        <f>Gap30deg!D17</f>
        <v>0.1</v>
      </c>
      <c r="E17" s="160"/>
      <c r="F17" s="160"/>
      <c r="G17" s="160"/>
      <c r="H17" s="160"/>
      <c r="I17" s="160"/>
      <c r="J17" s="160"/>
      <c r="K17" s="160"/>
      <c r="L17" s="86"/>
    </row>
    <row r="18" spans="1:22" s="85" customFormat="1" ht="20.100000000000001" customHeight="1" outlineLevel="1">
      <c r="A18" s="87"/>
      <c r="B18" s="158" t="s">
        <v>95</v>
      </c>
      <c r="C18" s="158"/>
      <c r="D18" s="159">
        <f>Gap30deg!D18</f>
        <v>45432</v>
      </c>
      <c r="E18" s="159"/>
      <c r="F18" s="159"/>
      <c r="G18" s="159"/>
      <c r="H18" s="159"/>
      <c r="I18" s="159"/>
      <c r="J18" s="159"/>
      <c r="K18" s="159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F.1</v>
      </c>
      <c r="B21" s="14" t="s">
        <v>20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9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5"/>
      <c r="C28" s="166"/>
      <c r="D28" s="166"/>
      <c r="E28" s="166"/>
      <c r="F28" s="166"/>
      <c r="G28" s="166"/>
      <c r="H28" s="166"/>
      <c r="I28" s="166"/>
      <c r="J28" s="166"/>
      <c r="K28" s="167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F.1.1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4</v>
      </c>
      <c r="B36" s="11" t="s">
        <v>21</v>
      </c>
      <c r="C36" s="11"/>
      <c r="D36" s="11"/>
      <c r="E36" s="11"/>
      <c r="F36" s="11"/>
      <c r="G36" s="11"/>
      <c r="H36" s="11"/>
      <c r="I36" s="10" t="s">
        <v>22</v>
      </c>
      <c r="J36" s="92">
        <v>232.5</v>
      </c>
      <c r="K36" s="93" t="s">
        <v>7</v>
      </c>
      <c r="L36" s="3"/>
    </row>
    <row r="37" spans="1:22" ht="20.100000000000001" customHeight="1" outlineLevel="1">
      <c r="A37" s="9" t="s">
        <v>3</v>
      </c>
      <c r="B37" s="8" t="s">
        <v>23</v>
      </c>
      <c r="C37" s="8"/>
      <c r="D37" s="8"/>
      <c r="E37" s="8"/>
      <c r="F37" s="8"/>
      <c r="G37" s="8"/>
      <c r="H37" s="8"/>
      <c r="I37" s="7" t="s">
        <v>24</v>
      </c>
      <c r="J37" s="62">
        <v>166.5</v>
      </c>
      <c r="K37" s="5" t="s">
        <v>7</v>
      </c>
      <c r="L37" s="3"/>
    </row>
    <row r="38" spans="1:22" ht="20.100000000000001" customHeight="1" outlineLevel="1">
      <c r="A38" s="9" t="s">
        <v>3</v>
      </c>
      <c r="B38" s="8" t="s">
        <v>25</v>
      </c>
      <c r="C38" s="8"/>
      <c r="D38" s="8"/>
      <c r="E38" s="8"/>
      <c r="F38" s="8"/>
      <c r="G38" s="8"/>
      <c r="H38" s="8"/>
      <c r="I38" s="7" t="s">
        <v>26</v>
      </c>
      <c r="J38" s="62">
        <v>72</v>
      </c>
      <c r="K38" s="5" t="s">
        <v>7</v>
      </c>
      <c r="L38" s="3"/>
    </row>
    <row r="39" spans="1:22" ht="20.100000000000001" customHeight="1" outlineLevel="1">
      <c r="A39" s="9" t="s">
        <v>2</v>
      </c>
      <c r="B39" s="8" t="s">
        <v>27</v>
      </c>
      <c r="C39" s="8"/>
      <c r="D39" s="8"/>
      <c r="E39" s="8"/>
      <c r="F39" s="8"/>
      <c r="G39" s="8"/>
      <c r="H39" s="8"/>
      <c r="I39" s="7" t="s">
        <v>28</v>
      </c>
      <c r="J39" s="62">
        <v>200</v>
      </c>
      <c r="K39" s="5" t="s">
        <v>7</v>
      </c>
      <c r="L39" s="3"/>
    </row>
    <row r="40" spans="1:22" ht="20.100000000000001" customHeight="1" outlineLevel="1">
      <c r="A40" s="9" t="s">
        <v>6</v>
      </c>
      <c r="B40" s="8" t="s">
        <v>295</v>
      </c>
      <c r="C40" s="8"/>
      <c r="D40" s="8"/>
      <c r="E40" s="8"/>
      <c r="F40" s="8"/>
      <c r="G40" s="8"/>
      <c r="H40" s="8"/>
      <c r="I40" s="7" t="s">
        <v>296</v>
      </c>
      <c r="J40" s="62">
        <v>3</v>
      </c>
      <c r="K40" s="5" t="s">
        <v>215</v>
      </c>
      <c r="L40" s="3"/>
    </row>
    <row r="41" spans="1:22" ht="20.100000000000001" customHeight="1" outlineLevel="1">
      <c r="A41" s="9" t="s">
        <v>5</v>
      </c>
      <c r="B41" s="8" t="s">
        <v>290</v>
      </c>
      <c r="C41" s="8"/>
      <c r="D41" s="8"/>
      <c r="E41" s="8"/>
      <c r="F41" s="8"/>
      <c r="G41" s="8"/>
      <c r="H41" s="8"/>
      <c r="I41" s="7" t="s">
        <v>29</v>
      </c>
      <c r="J41" s="62">
        <v>3750</v>
      </c>
      <c r="K41" s="5" t="s">
        <v>7</v>
      </c>
      <c r="L41" s="3"/>
    </row>
    <row r="42" spans="1:22" ht="20.100000000000001" customHeight="1" outlineLevel="1">
      <c r="A42" s="9" t="s">
        <v>30</v>
      </c>
      <c r="B42" s="17" t="s">
        <v>319</v>
      </c>
      <c r="C42" s="17"/>
      <c r="D42" s="17"/>
      <c r="E42" s="17"/>
      <c r="F42" s="17"/>
      <c r="G42" s="17"/>
      <c r="H42" s="17"/>
      <c r="I42" s="16" t="s">
        <v>31</v>
      </c>
      <c r="J42" s="64">
        <v>-123.29166666666667</v>
      </c>
      <c r="K42" s="15" t="s">
        <v>8</v>
      </c>
      <c r="L42" s="3"/>
    </row>
    <row r="43" spans="1:22" ht="20.100000000000001" customHeight="1" outlineLevel="1">
      <c r="A43" s="9" t="s">
        <v>33</v>
      </c>
      <c r="B43" s="17" t="s">
        <v>50</v>
      </c>
      <c r="C43" s="17"/>
      <c r="D43" s="17"/>
      <c r="E43" s="17"/>
      <c r="F43" s="17"/>
      <c r="G43" s="17"/>
      <c r="H43" s="17"/>
      <c r="I43" s="16" t="s">
        <v>52</v>
      </c>
      <c r="J43" s="64">
        <v>210</v>
      </c>
      <c r="K43" s="15" t="s">
        <v>54</v>
      </c>
      <c r="L43" s="3"/>
    </row>
    <row r="44" spans="1:22" ht="20.100000000000001" customHeight="1" outlineLevel="1">
      <c r="A44" s="9" t="s">
        <v>34</v>
      </c>
      <c r="B44" s="8" t="s">
        <v>51</v>
      </c>
      <c r="C44" s="8"/>
      <c r="D44" s="8"/>
      <c r="E44" s="8"/>
      <c r="F44" s="8"/>
      <c r="G44" s="8"/>
      <c r="H44" s="8"/>
      <c r="I44" s="7" t="s">
        <v>53</v>
      </c>
      <c r="J44" s="62">
        <v>80.77</v>
      </c>
      <c r="K44" s="5" t="s">
        <v>54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F.1.2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4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40</v>
      </c>
      <c r="K47" s="5"/>
      <c r="L47" s="3"/>
    </row>
    <row r="48" spans="1:22" ht="20.100000000000001" customHeight="1" outlineLevel="1">
      <c r="A48" s="9" t="s">
        <v>3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7</v>
      </c>
      <c r="L48" s="3"/>
    </row>
    <row r="49" spans="1:12" ht="20.100000000000001" customHeight="1" outlineLevel="1">
      <c r="A49" s="9" t="s">
        <v>2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7</v>
      </c>
      <c r="L49" s="3"/>
    </row>
    <row r="50" spans="1:12" ht="20.100000000000001" customHeight="1" outlineLevel="1">
      <c r="A50" s="9" t="s">
        <v>6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7</v>
      </c>
      <c r="L50" s="3"/>
    </row>
    <row r="51" spans="1:12" ht="20.100000000000001" customHeight="1" outlineLevel="1">
      <c r="A51" s="9" t="s">
        <v>5</v>
      </c>
      <c r="B51" s="8" t="s">
        <v>37</v>
      </c>
      <c r="C51" s="8"/>
      <c r="D51" s="8"/>
      <c r="E51" s="8"/>
      <c r="F51" s="8"/>
      <c r="G51" s="8"/>
      <c r="H51" s="8"/>
      <c r="I51" s="7" t="s">
        <v>39</v>
      </c>
      <c r="J51" s="61">
        <v>6</v>
      </c>
      <c r="K51" s="5" t="s">
        <v>7</v>
      </c>
      <c r="L51" s="3"/>
    </row>
    <row r="52" spans="1:12" ht="20.100000000000001" customHeight="1" outlineLevel="1">
      <c r="A52" s="9" t="s">
        <v>30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33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34</v>
      </c>
      <c r="B54" s="17" t="s">
        <v>117</v>
      </c>
      <c r="C54" s="17"/>
      <c r="D54" s="17"/>
      <c r="E54" s="17"/>
      <c r="F54" s="17"/>
      <c r="G54" s="17"/>
      <c r="H54" s="17"/>
      <c r="I54" s="16" t="s">
        <v>52</v>
      </c>
      <c r="J54" s="65">
        <v>210</v>
      </c>
      <c r="K54" s="15" t="s">
        <v>54</v>
      </c>
      <c r="L54" s="3"/>
    </row>
    <row r="55" spans="1:12" ht="20.100000000000001" customHeight="1" outlineLevel="1">
      <c r="A55" s="9" t="s">
        <v>35</v>
      </c>
      <c r="B55" s="17" t="s">
        <v>32</v>
      </c>
      <c r="C55" s="17"/>
      <c r="D55" s="17"/>
      <c r="E55" s="17"/>
      <c r="F55" s="17"/>
      <c r="G55" s="17"/>
      <c r="H55" s="17"/>
      <c r="I55" s="16" t="s">
        <v>36</v>
      </c>
      <c r="J55" s="65">
        <v>2876</v>
      </c>
      <c r="K55" s="15" t="s">
        <v>8</v>
      </c>
      <c r="L55" s="3"/>
    </row>
    <row r="56" spans="1:12" ht="20.100000000000001" customHeight="1" outlineLevel="1">
      <c r="A56" s="9" t="s">
        <v>38</v>
      </c>
      <c r="B56" s="8" t="s">
        <v>41</v>
      </c>
      <c r="C56" s="8"/>
      <c r="D56" s="8"/>
      <c r="E56" s="8"/>
      <c r="F56" s="8"/>
      <c r="G56" s="8"/>
      <c r="H56" s="8"/>
      <c r="I56" s="7" t="s">
        <v>47</v>
      </c>
      <c r="J56" s="62">
        <v>86</v>
      </c>
      <c r="K56" s="5" t="s">
        <v>7</v>
      </c>
      <c r="L56" s="3"/>
    </row>
    <row r="57" spans="1:12" ht="20.100000000000001" customHeight="1" outlineLevel="1">
      <c r="A57" s="9" t="s">
        <v>49</v>
      </c>
      <c r="B57" s="8" t="s">
        <v>42</v>
      </c>
      <c r="C57" s="8"/>
      <c r="D57" s="8"/>
      <c r="E57" s="8"/>
      <c r="F57" s="8"/>
      <c r="G57" s="8"/>
      <c r="H57" s="8"/>
      <c r="I57" s="7" t="s">
        <v>48</v>
      </c>
      <c r="J57" s="62">
        <v>140</v>
      </c>
      <c r="K57" s="5" t="s">
        <v>7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F.1.3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4</v>
      </c>
      <c r="B60" s="11" t="s">
        <v>43</v>
      </c>
      <c r="C60" s="11"/>
      <c r="D60" s="11"/>
      <c r="E60" s="11"/>
      <c r="F60" s="11"/>
      <c r="G60" s="11"/>
      <c r="H60" s="11"/>
      <c r="I60" s="10" t="s">
        <v>46</v>
      </c>
      <c r="J60" s="97">
        <v>1.6338216149415536</v>
      </c>
      <c r="K60" s="93" t="s">
        <v>7</v>
      </c>
      <c r="L60" s="3"/>
    </row>
    <row r="61" spans="1:12" ht="20.100000000000001" customHeight="1" outlineLevel="1">
      <c r="A61" s="9" t="s">
        <v>3</v>
      </c>
      <c r="B61" s="8" t="s">
        <v>44</v>
      </c>
      <c r="C61" s="8"/>
      <c r="D61" s="8"/>
      <c r="E61" s="8"/>
      <c r="F61" s="8"/>
      <c r="G61" s="8"/>
      <c r="H61" s="8"/>
      <c r="I61" s="7" t="s">
        <v>45</v>
      </c>
      <c r="J61" s="98">
        <v>3926.990816987241</v>
      </c>
      <c r="K61" s="5" t="s">
        <v>7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F.2</v>
      </c>
      <c r="B64" s="14" t="s">
        <v>55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-976.40263347812686</v>
      </c>
      <c r="P66" s="71">
        <v>-948.54731946448271</v>
      </c>
      <c r="Q66" s="71">
        <v>-920.69200545083868</v>
      </c>
      <c r="R66" s="71">
        <v>-892.83669143719465</v>
      </c>
      <c r="S66" s="71">
        <v>-864.9813774235505</v>
      </c>
      <c r="T66" s="71">
        <v>-837.12606340990646</v>
      </c>
      <c r="U66" s="71">
        <v>-809.27074939626232</v>
      </c>
      <c r="V66" s="71">
        <v>-781.41543538261828</v>
      </c>
      <c r="W66" s="71">
        <v>-753.56012136897425</v>
      </c>
      <c r="X66" s="71">
        <v>-725.7048073553301</v>
      </c>
      <c r="Y66" s="71">
        <v>-697.84949334168607</v>
      </c>
      <c r="Z66" s="71">
        <v>-669.99417932804192</v>
      </c>
      <c r="AA66" s="71">
        <v>-642.138865314398</v>
      </c>
      <c r="AB66" s="71">
        <v>-614.28355130075386</v>
      </c>
      <c r="AC66" s="71">
        <v>-586.42823728710971</v>
      </c>
      <c r="AD66" s="71">
        <v>-558.57292327346556</v>
      </c>
      <c r="AE66" s="71">
        <v>-530.71760925982164</v>
      </c>
      <c r="AF66" s="71">
        <v>-502.86229524617755</v>
      </c>
      <c r="AG66" s="71">
        <v>-475.00698123253346</v>
      </c>
      <c r="AH66" s="71">
        <v>-447.15166721888932</v>
      </c>
      <c r="AI66" s="71">
        <v>-419.29635320524534</v>
      </c>
      <c r="AJ66" s="71">
        <v>-391.44103919160119</v>
      </c>
      <c r="AK66" s="71">
        <v>-363.5857251779571</v>
      </c>
      <c r="AL66" s="71">
        <v>-335.73041116431307</v>
      </c>
      <c r="AM66" s="71">
        <v>-307.87509715066898</v>
      </c>
      <c r="AN66" s="71">
        <v>-280.01978313702483</v>
      </c>
      <c r="AO66" s="71">
        <v>-252.16446912338085</v>
      </c>
      <c r="AP66" s="71">
        <v>-224.30915510973671</v>
      </c>
      <c r="AQ66" s="71">
        <v>-196.45384109609259</v>
      </c>
      <c r="AR66" s="71">
        <v>-168.59852708244858</v>
      </c>
      <c r="AS66" s="71">
        <v>-140.74321306880447</v>
      </c>
      <c r="AT66" s="71">
        <v>-112.88789905516046</v>
      </c>
      <c r="AU66" s="71">
        <v>-85.032585041516342</v>
      </c>
      <c r="AV66" s="71">
        <v>-57.177271027872223</v>
      </c>
      <c r="AW66" s="71">
        <v>-29.321957014228218</v>
      </c>
      <c r="AX66" s="71">
        <v>-1.4666430005840958</v>
      </c>
      <c r="AY66" s="71">
        <v>26.388671013059909</v>
      </c>
      <c r="AZ66" s="71">
        <v>54.243985026704031</v>
      </c>
      <c r="BA66" s="71">
        <v>82.099299040348157</v>
      </c>
      <c r="BB66" s="71">
        <v>109.95461305399228</v>
      </c>
      <c r="BC66" s="71">
        <v>137.80992706763615</v>
      </c>
      <c r="BD66" s="71">
        <v>165.66524108128027</v>
      </c>
      <c r="BE66" s="71">
        <v>193.52055509492442</v>
      </c>
      <c r="BF66" s="71">
        <v>221.37586910856854</v>
      </c>
      <c r="BG66" s="71">
        <v>249.23118312221266</v>
      </c>
      <c r="BH66" s="71">
        <v>277.08649713585675</v>
      </c>
      <c r="BI66" s="71">
        <v>304.94181114950067</v>
      </c>
      <c r="BJ66" s="71">
        <v>332.79712516314476</v>
      </c>
      <c r="BK66" s="71">
        <v>360.6524391767889</v>
      </c>
      <c r="BL66" s="71">
        <v>388.50775319043305</v>
      </c>
      <c r="BM66" s="71">
        <v>416.36306720407714</v>
      </c>
      <c r="BN66" s="71">
        <v>444.21838121772106</v>
      </c>
      <c r="BO66" s="71">
        <v>472.07369523136515</v>
      </c>
      <c r="BP66" s="71">
        <v>499.9290092450093</v>
      </c>
      <c r="BQ66" s="71">
        <v>527.78432325865344</v>
      </c>
      <c r="BR66" s="71">
        <v>555.63963727229748</v>
      </c>
      <c r="BS66" s="71">
        <v>583.49495128594162</v>
      </c>
      <c r="BT66" s="71">
        <v>611.35026529958554</v>
      </c>
      <c r="BU66" s="71">
        <v>639.20557931322969</v>
      </c>
      <c r="BV66" s="71">
        <v>667.06089332687372</v>
      </c>
      <c r="BW66" s="71">
        <v>694.91620734051787</v>
      </c>
      <c r="BX66" s="71">
        <v>722.77152135416202</v>
      </c>
      <c r="BY66" s="71">
        <v>750.62683536780594</v>
      </c>
      <c r="BZ66" s="71">
        <v>778.48214938144997</v>
      </c>
      <c r="CA66" s="71">
        <v>806.33746339509412</v>
      </c>
      <c r="CB66" s="71">
        <v>834.19277740873827</v>
      </c>
      <c r="CC66" s="71">
        <v>862.04809142238241</v>
      </c>
      <c r="CD66" s="71">
        <v>889.90340543602633</v>
      </c>
      <c r="CE66" s="71">
        <v>917.75871944967037</v>
      </c>
      <c r="CF66" s="71">
        <v>945.61403346331451</v>
      </c>
      <c r="CG66" s="71">
        <v>973.46934747695866</v>
      </c>
      <c r="CH66" s="71">
        <v>1001.3246614906028</v>
      </c>
      <c r="CI66" s="71">
        <v>1029.1799755042466</v>
      </c>
      <c r="CJ66" s="71">
        <v>1057.0352895178908</v>
      </c>
      <c r="CK66" s="71">
        <v>1084.8906035315347</v>
      </c>
      <c r="CL66" s="71">
        <v>1112.7459175451788</v>
      </c>
      <c r="CM66" s="71">
        <v>1140.601231558823</v>
      </c>
      <c r="CN66" s="71">
        <v>1168.4565455724671</v>
      </c>
      <c r="CO66" s="71">
        <v>1196.3118595861113</v>
      </c>
      <c r="CP66" s="71">
        <v>1224.1671735997554</v>
      </c>
      <c r="CQ66" s="71">
        <v>1252.0224876133991</v>
      </c>
      <c r="CR66" s="71">
        <v>1279.8778016270433</v>
      </c>
      <c r="CS66" s="71">
        <v>1307.7331156406874</v>
      </c>
      <c r="CT66" s="71">
        <v>1335.5884296543313</v>
      </c>
      <c r="CU66" s="71">
        <v>1363.4437436679755</v>
      </c>
      <c r="CV66" s="71">
        <v>1391.2990576816196</v>
      </c>
      <c r="CW66" s="71">
        <v>1419.1543716952638</v>
      </c>
      <c r="CX66" s="71">
        <v>1447.0096857089079</v>
      </c>
      <c r="CY66" s="71">
        <v>1474.8649997225521</v>
      </c>
      <c r="CZ66" s="71">
        <v>1502.7203137361962</v>
      </c>
      <c r="DA66" s="71">
        <v>1530.5756277498404</v>
      </c>
      <c r="DB66" s="71">
        <v>1558.4309417634838</v>
      </c>
      <c r="DC66" s="71">
        <v>1586.286255777128</v>
      </c>
      <c r="DD66" s="71">
        <v>1614.1415697907721</v>
      </c>
      <c r="DE66" s="71">
        <v>1641.9968838044163</v>
      </c>
      <c r="DF66" s="71">
        <v>1669.8521978180604</v>
      </c>
      <c r="DG66" s="71">
        <v>1697.7075118317046</v>
      </c>
      <c r="DH66" s="71">
        <v>1725.5628258453487</v>
      </c>
      <c r="DI66" s="71">
        <v>1753.4181398589928</v>
      </c>
      <c r="DJ66" s="71">
        <v>1781.273453872637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2827.7409927913959</v>
      </c>
      <c r="P67" s="71">
        <v>2827.7409927913959</v>
      </c>
      <c r="Q67" s="71">
        <v>2827.7472916340303</v>
      </c>
      <c r="R67" s="71">
        <v>2827.8429232254184</v>
      </c>
      <c r="S67" s="71">
        <v>2828.053659040087</v>
      </c>
      <c r="T67" s="71">
        <v>2828.3794990780352</v>
      </c>
      <c r="U67" s="71">
        <v>2828.8204433392643</v>
      </c>
      <c r="V67" s="71">
        <v>2829.3764918237739</v>
      </c>
      <c r="W67" s="71">
        <v>2830.0476445315639</v>
      </c>
      <c r="X67" s="71">
        <v>2830.8339014626335</v>
      </c>
      <c r="Y67" s="71">
        <v>2831.7352626169841</v>
      </c>
      <c r="Z67" s="71">
        <v>2832.7517279946146</v>
      </c>
      <c r="AA67" s="71">
        <v>2833.8832975955256</v>
      </c>
      <c r="AB67" s="71">
        <v>2835.1299714197171</v>
      </c>
      <c r="AC67" s="71">
        <v>2836.4917494671886</v>
      </c>
      <c r="AD67" s="71">
        <v>2837.9686317379405</v>
      </c>
      <c r="AE67" s="71">
        <v>2839.5606182319725</v>
      </c>
      <c r="AF67" s="71">
        <v>2841.2677089492854</v>
      </c>
      <c r="AG67" s="71">
        <v>2843.0899038898783</v>
      </c>
      <c r="AH67" s="71">
        <v>2845.0272030537517</v>
      </c>
      <c r="AI67" s="71">
        <v>2847.0796064409051</v>
      </c>
      <c r="AJ67" s="71">
        <v>2849.2471140513389</v>
      </c>
      <c r="AK67" s="71">
        <v>2851.5297258850533</v>
      </c>
      <c r="AL67" s="71">
        <v>2853.9274419420472</v>
      </c>
      <c r="AM67" s="71">
        <v>2856.440262222322</v>
      </c>
      <c r="AN67" s="71">
        <v>2859.0681867258772</v>
      </c>
      <c r="AO67" s="71">
        <v>2861.8112154527125</v>
      </c>
      <c r="AP67" s="71">
        <v>2864.6693484028283</v>
      </c>
      <c r="AQ67" s="71">
        <v>2867.6425855762245</v>
      </c>
      <c r="AR67" s="71">
        <v>2870.7309269729008</v>
      </c>
      <c r="AS67" s="71">
        <v>2873.9343725928575</v>
      </c>
      <c r="AT67" s="71">
        <v>2877.265978274027</v>
      </c>
      <c r="AU67" s="71">
        <v>2880.8631365947031</v>
      </c>
      <c r="AV67" s="71">
        <v>2884.7625835067593</v>
      </c>
      <c r="AW67" s="71">
        <v>2888.9643190101951</v>
      </c>
      <c r="AX67" s="71">
        <v>2893.4683431050116</v>
      </c>
      <c r="AY67" s="71">
        <v>2898.2746557912087</v>
      </c>
      <c r="AZ67" s="71">
        <v>2903.3832570687855</v>
      </c>
      <c r="BA67" s="71">
        <v>2908.7941469377429</v>
      </c>
      <c r="BB67" s="71">
        <v>2914.50732539808</v>
      </c>
      <c r="BC67" s="71">
        <v>2920.5227924497976</v>
      </c>
      <c r="BD67" s="71">
        <v>2926.8405480928955</v>
      </c>
      <c r="BE67" s="71">
        <v>2933.4605923273734</v>
      </c>
      <c r="BF67" s="71">
        <v>2940.3829251532316</v>
      </c>
      <c r="BG67" s="71">
        <v>2947.6075465704707</v>
      </c>
      <c r="BH67" s="71">
        <v>2955.1344565790891</v>
      </c>
      <c r="BI67" s="71">
        <v>2962.9636551790882</v>
      </c>
      <c r="BJ67" s="71">
        <v>2971.0951423704669</v>
      </c>
      <c r="BK67" s="71">
        <v>2979.5289181532266</v>
      </c>
      <c r="BL67" s="71">
        <v>2988.2649825273666</v>
      </c>
      <c r="BM67" s="71">
        <v>2997.3033354928862</v>
      </c>
      <c r="BN67" s="71">
        <v>3006.6439770497859</v>
      </c>
      <c r="BO67" s="71">
        <v>3016.2869071980663</v>
      </c>
      <c r="BP67" s="71">
        <v>3026.2321259377272</v>
      </c>
      <c r="BQ67" s="71">
        <v>3036.4796332687679</v>
      </c>
      <c r="BR67" s="71">
        <v>3047.0294291911887</v>
      </c>
      <c r="BS67" s="71">
        <v>3057.8815137049901</v>
      </c>
      <c r="BT67" s="71">
        <v>3069.0358868101716</v>
      </c>
      <c r="BU67" s="71">
        <v>3080.4925485067329</v>
      </c>
      <c r="BV67" s="71">
        <v>3092.2514987946747</v>
      </c>
      <c r="BW67" s="71">
        <v>3104.3127376739972</v>
      </c>
      <c r="BX67" s="71">
        <v>3116.6762651446993</v>
      </c>
      <c r="BY67" s="71">
        <v>3129.3420812067816</v>
      </c>
      <c r="BZ67" s="71">
        <v>3142.3101858602445</v>
      </c>
      <c r="CA67" s="71">
        <v>3155.5805791050875</v>
      </c>
      <c r="CB67" s="71">
        <v>3169.1532609413107</v>
      </c>
      <c r="CC67" s="71">
        <v>3183.028231368914</v>
      </c>
      <c r="CD67" s="71">
        <v>3197.205490387898</v>
      </c>
      <c r="CE67" s="71">
        <v>3211.685037998262</v>
      </c>
      <c r="CF67" s="71">
        <v>3226.4668742000058</v>
      </c>
      <c r="CG67" s="71">
        <v>3241.5509989931297</v>
      </c>
      <c r="CH67" s="71">
        <v>3256.9374123776347</v>
      </c>
      <c r="CI67" s="71">
        <v>3272.6261143535194</v>
      </c>
      <c r="CJ67" s="71">
        <v>3288.6171049207842</v>
      </c>
      <c r="CK67" s="71">
        <v>3304.9103840794292</v>
      </c>
      <c r="CL67" s="71">
        <v>3321.5059518294547</v>
      </c>
      <c r="CM67" s="71">
        <v>3338.4038081708604</v>
      </c>
      <c r="CN67" s="71">
        <v>3355.6039531036467</v>
      </c>
      <c r="CO67" s="71">
        <v>3373.1063866278123</v>
      </c>
      <c r="CP67" s="71">
        <v>3390.9111087433589</v>
      </c>
      <c r="CQ67" s="71">
        <v>3409.0181194502852</v>
      </c>
      <c r="CR67" s="71">
        <v>3427.4274187485921</v>
      </c>
      <c r="CS67" s="71">
        <v>3446.1390066382792</v>
      </c>
      <c r="CT67" s="71">
        <v>3465.1528831193459</v>
      </c>
      <c r="CU67" s="71">
        <v>3484.4690481917937</v>
      </c>
      <c r="CV67" s="71">
        <v>3504.0875018556212</v>
      </c>
      <c r="CW67" s="71">
        <v>3524.0082441108293</v>
      </c>
      <c r="CX67" s="71">
        <v>3544.2312749574176</v>
      </c>
      <c r="CY67" s="71">
        <v>3564.7565943953855</v>
      </c>
      <c r="CZ67" s="71">
        <v>3585.5842024247345</v>
      </c>
      <c r="DA67" s="71">
        <v>3606.7140990454627</v>
      </c>
      <c r="DB67" s="71">
        <v>3628.1462842575716</v>
      </c>
      <c r="DC67" s="71">
        <v>3649.880758061061</v>
      </c>
      <c r="DD67" s="71">
        <v>3671.9175204559306</v>
      </c>
      <c r="DE67" s="71">
        <v>3694.2565714421803</v>
      </c>
      <c r="DF67" s="71">
        <v>3716.8979110198102</v>
      </c>
      <c r="DG67" s="71">
        <v>3739.8415391888202</v>
      </c>
      <c r="DH67" s="71">
        <v>3763.0874559492104</v>
      </c>
      <c r="DI67" s="71">
        <v>3786.6356613009812</v>
      </c>
      <c r="DJ67" s="71">
        <v>3810.4861552441321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56</v>
      </c>
      <c r="O68" s="71">
        <v>-263.5898682965568</v>
      </c>
      <c r="P68" s="71">
        <v>-263.5898682965568</v>
      </c>
      <c r="Q68" s="71">
        <v>-263.55892571099383</v>
      </c>
      <c r="R68" s="71">
        <v>-263.08914278878973</v>
      </c>
      <c r="S68" s="71">
        <v>-262.05391912063806</v>
      </c>
      <c r="T68" s="71">
        <v>-260.45325470653887</v>
      </c>
      <c r="U68" s="71">
        <v>-258.28714954649206</v>
      </c>
      <c r="V68" s="71">
        <v>-255.55560364049774</v>
      </c>
      <c r="W68" s="71">
        <v>-252.25861698855584</v>
      </c>
      <c r="X68" s="71">
        <v>-248.39618959066632</v>
      </c>
      <c r="Y68" s="71">
        <v>-243.96832144682929</v>
      </c>
      <c r="Z68" s="71">
        <v>-238.97501255704469</v>
      </c>
      <c r="AA68" s="71">
        <v>-233.41626292131252</v>
      </c>
      <c r="AB68" s="71">
        <v>-227.29207253963284</v>
      </c>
      <c r="AC68" s="71">
        <v>-220.60244141200548</v>
      </c>
      <c r="AD68" s="71">
        <v>-213.3473695384306</v>
      </c>
      <c r="AE68" s="71">
        <v>-205.52685691890821</v>
      </c>
      <c r="AF68" s="71">
        <v>-197.14090355343819</v>
      </c>
      <c r="AG68" s="71">
        <v>-188.18950944202061</v>
      </c>
      <c r="AH68" s="71">
        <v>-178.67267458465551</v>
      </c>
      <c r="AI68" s="71">
        <v>-168.59039898134284</v>
      </c>
      <c r="AJ68" s="71">
        <v>-157.94268263208255</v>
      </c>
      <c r="AK68" s="71">
        <v>-146.72952553687469</v>
      </c>
      <c r="AL68" s="71">
        <v>-134.95092769571937</v>
      </c>
      <c r="AM68" s="71">
        <v>-122.60688910861636</v>
      </c>
      <c r="AN68" s="71">
        <v>-109.69740977556584</v>
      </c>
      <c r="AO68" s="71">
        <v>-96.222489696567791</v>
      </c>
      <c r="AP68" s="71">
        <v>-82.182128871622083</v>
      </c>
      <c r="AQ68" s="71">
        <v>-67.576327300728863</v>
      </c>
      <c r="AR68" s="71">
        <v>-52.405084983888131</v>
      </c>
      <c r="AS68" s="71">
        <v>-36.668401921099743</v>
      </c>
      <c r="AT68" s="71">
        <v>-20.340045340107991</v>
      </c>
      <c r="AU68" s="71">
        <v>-3.1439557313952591</v>
      </c>
      <c r="AV68" s="71">
        <v>14.993679544570803</v>
      </c>
      <c r="AW68" s="71">
        <v>34.072860487790116</v>
      </c>
      <c r="AX68" s="71">
        <v>54.093587098262837</v>
      </c>
      <c r="AY68" s="71">
        <v>75.055859375988803</v>
      </c>
      <c r="AZ68" s="71">
        <v>96.959677320968183</v>
      </c>
      <c r="BA68" s="71">
        <v>119.8050409332009</v>
      </c>
      <c r="BB68" s="71">
        <v>143.59195021268692</v>
      </c>
      <c r="BC68" s="71">
        <v>168.32040515942612</v>
      </c>
      <c r="BD68" s="71">
        <v>193.99040577341879</v>
      </c>
      <c r="BE68" s="71">
        <v>220.60195205466488</v>
      </c>
      <c r="BF68" s="71">
        <v>248.15504400316422</v>
      </c>
      <c r="BG68" s="71">
        <v>276.64968161891687</v>
      </c>
      <c r="BH68" s="71">
        <v>306.08586490192295</v>
      </c>
      <c r="BI68" s="71">
        <v>336.46359385218199</v>
      </c>
      <c r="BJ68" s="71">
        <v>367.78286846969473</v>
      </c>
      <c r="BK68" s="71">
        <v>400.04368875446073</v>
      </c>
      <c r="BL68" s="71">
        <v>433.24605470648004</v>
      </c>
      <c r="BM68" s="71">
        <v>467.38996632575271</v>
      </c>
      <c r="BN68" s="71">
        <v>502.47542361227846</v>
      </c>
      <c r="BO68" s="71">
        <v>538.50242656605781</v>
      </c>
      <c r="BP68" s="71">
        <v>575.47097518709052</v>
      </c>
      <c r="BQ68" s="71">
        <v>613.38106947537642</v>
      </c>
      <c r="BR68" s="71">
        <v>652.23270943091586</v>
      </c>
      <c r="BS68" s="71">
        <v>692.0258950537085</v>
      </c>
      <c r="BT68" s="71">
        <v>732.76062634375421</v>
      </c>
      <c r="BU68" s="71">
        <v>774.43690330105346</v>
      </c>
      <c r="BV68" s="71">
        <v>817.05472592560614</v>
      </c>
      <c r="BW68" s="71">
        <v>860.614094217412</v>
      </c>
      <c r="BX68" s="71">
        <v>905.11500817647141</v>
      </c>
      <c r="BY68" s="71">
        <v>950.55746780278366</v>
      </c>
      <c r="BZ68" s="71">
        <v>996.94147309634968</v>
      </c>
      <c r="CA68" s="71">
        <v>1044.267024057169</v>
      </c>
      <c r="CB68" s="71">
        <v>1092.5341206852415</v>
      </c>
      <c r="CC68" s="71">
        <v>1141.7427629805675</v>
      </c>
      <c r="CD68" s="71">
        <v>1191.8929509431464</v>
      </c>
      <c r="CE68" s="71">
        <v>1242.9846845729789</v>
      </c>
      <c r="CF68" s="71">
        <v>1295.0179638700649</v>
      </c>
      <c r="CG68" s="71">
        <v>1347.9927888344041</v>
      </c>
      <c r="CH68" s="71">
        <v>1401.9091594659969</v>
      </c>
      <c r="CI68" s="71">
        <v>1456.7670757648423</v>
      </c>
      <c r="CJ68" s="71">
        <v>1512.5665377309415</v>
      </c>
      <c r="CK68" s="71">
        <v>1569.3075453642941</v>
      </c>
      <c r="CL68" s="71">
        <v>1626.9900986648997</v>
      </c>
      <c r="CM68" s="71">
        <v>1685.6141976327594</v>
      </c>
      <c r="CN68" s="71">
        <v>1745.1798422678719</v>
      </c>
      <c r="CO68" s="71">
        <v>1805.6870325702375</v>
      </c>
      <c r="CP68" s="71">
        <v>1867.1357685398573</v>
      </c>
      <c r="CQ68" s="71">
        <v>1929.5260501767284</v>
      </c>
      <c r="CR68" s="71">
        <v>1992.8578774808548</v>
      </c>
      <c r="CS68" s="71">
        <v>2057.1312504522339</v>
      </c>
      <c r="CT68" s="71">
        <v>2122.3461690908662</v>
      </c>
      <c r="CU68" s="71">
        <v>2188.5026333967526</v>
      </c>
      <c r="CV68" s="71">
        <v>2255.6006433698917</v>
      </c>
      <c r="CW68" s="71">
        <v>2323.6401990102841</v>
      </c>
      <c r="CX68" s="71">
        <v>2392.62130031793</v>
      </c>
      <c r="CY68" s="71">
        <v>2462.5439472928297</v>
      </c>
      <c r="CZ68" s="71">
        <v>2533.408139934982</v>
      </c>
      <c r="DA68" s="71">
        <v>2605.2138782443881</v>
      </c>
      <c r="DB68" s="71">
        <v>2677.9611622210459</v>
      </c>
      <c r="DC68" s="71">
        <v>2751.6499918649583</v>
      </c>
      <c r="DD68" s="71">
        <v>2826.2803671761244</v>
      </c>
      <c r="DE68" s="71">
        <v>2901.8522881545432</v>
      </c>
      <c r="DF68" s="71">
        <v>2978.3657548002161</v>
      </c>
      <c r="DG68" s="71">
        <v>3055.8207671131422</v>
      </c>
      <c r="DH68" s="71">
        <v>3134.2173250933211</v>
      </c>
      <c r="DI68" s="71">
        <v>3213.5554287407535</v>
      </c>
      <c r="DJ68" s="71">
        <v>3293.8350780554397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F.2.1</v>
      </c>
      <c r="B82" s="12" t="s">
        <v>57</v>
      </c>
      <c r="C82" s="12"/>
      <c r="D82" s="12"/>
      <c r="E82" s="12"/>
      <c r="F82" s="12"/>
      <c r="G82" s="12"/>
      <c r="H82" s="12"/>
      <c r="I82" s="12"/>
      <c r="J82" s="77" t="s">
        <v>58</v>
      </c>
      <c r="K82" s="78" t="s">
        <v>59</v>
      </c>
      <c r="L82" s="3"/>
    </row>
    <row r="83" spans="1:14" ht="20.100000000000001" customHeight="1" outlineLevel="1">
      <c r="A83" s="9" t="s">
        <v>4</v>
      </c>
      <c r="B83" s="11" t="s">
        <v>318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3</v>
      </c>
      <c r="B84" s="8" t="s">
        <v>60</v>
      </c>
      <c r="C84" s="8"/>
      <c r="D84" s="8"/>
      <c r="E84" s="8"/>
      <c r="F84" s="8"/>
      <c r="G84" s="8"/>
      <c r="H84" s="8"/>
      <c r="I84" s="7"/>
      <c r="J84" s="79">
        <v>1696.4509084501303</v>
      </c>
      <c r="K84" s="79">
        <v>3738.8</v>
      </c>
      <c r="L84" s="3"/>
    </row>
    <row r="85" spans="1:14" ht="20.100000000000001" customHeight="1" outlineLevel="1">
      <c r="A85" s="9" t="s">
        <v>2</v>
      </c>
      <c r="B85" s="8" t="s">
        <v>61</v>
      </c>
      <c r="C85" s="8"/>
      <c r="D85" s="8"/>
      <c r="E85" s="8"/>
      <c r="F85" s="8"/>
      <c r="G85" s="8"/>
      <c r="H85" s="8"/>
      <c r="I85" s="7"/>
      <c r="J85" s="79">
        <v>139.05305712166626</v>
      </c>
      <c r="K85" s="79">
        <v>2920.7982976966441</v>
      </c>
      <c r="L85" s="3"/>
    </row>
    <row r="86" spans="1:14" ht="20.100000000000001" customHeight="1" outlineLevel="1">
      <c r="A86" s="9" t="s">
        <v>6</v>
      </c>
      <c r="B86" s="8" t="s">
        <v>63</v>
      </c>
      <c r="C86" s="8"/>
      <c r="D86" s="8"/>
      <c r="E86" s="8"/>
      <c r="F86" s="8"/>
      <c r="G86" s="8"/>
      <c r="H86" s="8"/>
      <c r="I86" s="7"/>
      <c r="J86" s="79">
        <v>-929.9072699791684</v>
      </c>
      <c r="K86" s="79">
        <v>2827.7409927913959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F.2.2</v>
      </c>
      <c r="B88" s="12" t="s">
        <v>62</v>
      </c>
      <c r="C88" s="12"/>
      <c r="D88" s="12"/>
      <c r="E88" s="12"/>
      <c r="F88" s="12"/>
      <c r="G88" s="12"/>
      <c r="H88" s="12"/>
      <c r="I88" s="78" t="s">
        <v>93</v>
      </c>
      <c r="J88" s="77" t="s">
        <v>66</v>
      </c>
      <c r="K88" s="78" t="s">
        <v>67</v>
      </c>
      <c r="L88" s="3"/>
    </row>
    <row r="89" spans="1:14" ht="20.100000000000001" customHeight="1" outlineLevel="1">
      <c r="A89" s="9" t="s">
        <v>4</v>
      </c>
      <c r="B89" s="11" t="s">
        <v>320</v>
      </c>
      <c r="C89" s="11"/>
      <c r="D89" s="11"/>
      <c r="E89" s="11"/>
      <c r="F89" s="11"/>
      <c r="G89" s="11"/>
      <c r="H89" s="11"/>
      <c r="I89" s="80">
        <v>2893713.8668779805</v>
      </c>
      <c r="J89" s="80">
        <v>0.16769096702589431</v>
      </c>
      <c r="K89" s="80">
        <v>1.9479403059500933E-7</v>
      </c>
      <c r="L89" s="3"/>
    </row>
    <row r="90" spans="1:14" ht="20.100000000000001" customHeight="1" outlineLevel="1">
      <c r="A90" s="9" t="s">
        <v>3</v>
      </c>
      <c r="B90" s="8" t="s">
        <v>64</v>
      </c>
      <c r="C90" s="8"/>
      <c r="D90" s="8"/>
      <c r="E90" s="8"/>
      <c r="F90" s="8"/>
      <c r="G90" s="8"/>
      <c r="H90" s="8"/>
      <c r="I90" s="80">
        <v>2891880.3246708233</v>
      </c>
      <c r="J90" s="80">
        <v>0.13794780178643817</v>
      </c>
      <c r="K90" s="80">
        <v>7.4172880587076418E-8</v>
      </c>
      <c r="L90" s="3"/>
    </row>
    <row r="91" spans="1:14" ht="20.100000000000001" customHeight="1" outlineLevel="1">
      <c r="A91" s="9" t="s">
        <v>2</v>
      </c>
      <c r="B91" s="8" t="s">
        <v>65</v>
      </c>
      <c r="C91" s="8"/>
      <c r="D91" s="8"/>
      <c r="E91" s="8"/>
      <c r="F91" s="8"/>
      <c r="G91" s="8"/>
      <c r="H91" s="8"/>
      <c r="I91" s="80">
        <v>2827740.9927913961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F.3</v>
      </c>
      <c r="B94" s="14" t="s">
        <v>68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F.3.1</v>
      </c>
      <c r="B112" s="12" t="s">
        <v>57</v>
      </c>
      <c r="C112" s="12"/>
      <c r="D112" s="12"/>
      <c r="E112" s="12"/>
      <c r="F112" s="12"/>
      <c r="G112" s="12"/>
      <c r="H112" s="12"/>
      <c r="I112" s="12"/>
      <c r="J112" s="77" t="s">
        <v>58</v>
      </c>
      <c r="K112" s="78" t="s">
        <v>69</v>
      </c>
      <c r="L112" s="3"/>
    </row>
    <row r="113" spans="1:21" ht="20.100000000000001" customHeight="1" outlineLevel="1">
      <c r="A113" s="9" t="s">
        <v>4</v>
      </c>
      <c r="B113" s="11" t="s">
        <v>318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-26.521164324960758</v>
      </c>
      <c r="L113" s="3"/>
    </row>
    <row r="114" spans="1:21" ht="20.100000000000001" customHeight="1" outlineLevel="1">
      <c r="A114" s="9" t="s">
        <v>3</v>
      </c>
      <c r="B114" s="8" t="s">
        <v>60</v>
      </c>
      <c r="C114" s="8"/>
      <c r="D114" s="8"/>
      <c r="E114" s="8"/>
      <c r="F114" s="8"/>
      <c r="G114" s="8"/>
      <c r="H114" s="8"/>
      <c r="I114" s="7"/>
      <c r="J114" s="79">
        <f>point2.Z</f>
        <v>1696.4509084501303</v>
      </c>
      <c r="K114" s="79">
        <v>3052.3063526614746</v>
      </c>
      <c r="L114" s="3"/>
    </row>
    <row r="115" spans="1:21" ht="20.100000000000001" customHeight="1" outlineLevel="1">
      <c r="A115" s="9" t="s">
        <v>2</v>
      </c>
      <c r="B115" s="8" t="s">
        <v>61</v>
      </c>
      <c r="C115" s="8"/>
      <c r="D115" s="8"/>
      <c r="E115" s="8"/>
      <c r="F115" s="8"/>
      <c r="G115" s="8"/>
      <c r="H115" s="8"/>
      <c r="I115" s="7"/>
      <c r="J115" s="79">
        <f>point3.Z</f>
        <v>139.05305712166626</v>
      </c>
      <c r="K115" s="79">
        <v>169.44593672475926</v>
      </c>
      <c r="L115" s="3"/>
    </row>
    <row r="116" spans="1:21" ht="20.100000000000001" customHeight="1" outlineLevel="1">
      <c r="A116" s="9" t="s">
        <v>6</v>
      </c>
      <c r="B116" s="8" t="s">
        <v>63</v>
      </c>
      <c r="C116" s="8"/>
      <c r="D116" s="8"/>
      <c r="E116" s="8"/>
      <c r="F116" s="8"/>
      <c r="G116" s="8"/>
      <c r="H116" s="8"/>
      <c r="I116" s="7"/>
      <c r="J116" s="79">
        <f>point4.Z</f>
        <v>-929.9072699791684</v>
      </c>
      <c r="K116" s="79">
        <v>-263.5898682965568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F.3.2</v>
      </c>
      <c r="B118" s="12" t="s">
        <v>62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66</v>
      </c>
      <c r="K118" s="78" t="s">
        <v>67</v>
      </c>
      <c r="L118" s="3"/>
    </row>
    <row r="119" spans="1:21" ht="20.100000000000001" customHeight="1" outlineLevel="1">
      <c r="A119" s="9" t="s">
        <v>4</v>
      </c>
      <c r="B119" s="11" t="s">
        <v>320</v>
      </c>
      <c r="C119" s="11"/>
      <c r="D119" s="11"/>
      <c r="E119" s="11"/>
      <c r="F119" s="11"/>
      <c r="G119" s="11"/>
      <c r="H119" s="11"/>
      <c r="I119" s="80">
        <v>55.173814311392348</v>
      </c>
      <c r="J119" s="80">
        <v>7.3742029494831374E-4</v>
      </c>
      <c r="K119" s="80">
        <v>6.0672973027569844E-10</v>
      </c>
      <c r="L119" s="3"/>
    </row>
    <row r="120" spans="1:21" ht="20.100000000000001" customHeight="1" outlineLevel="1">
      <c r="A120" s="9" t="s">
        <v>3</v>
      </c>
      <c r="B120" s="8" t="s">
        <v>64</v>
      </c>
      <c r="C120" s="8"/>
      <c r="D120" s="8"/>
      <c r="E120" s="8"/>
      <c r="F120" s="8"/>
      <c r="G120" s="8"/>
      <c r="H120" s="8"/>
      <c r="I120" s="80">
        <v>51.489723302437838</v>
      </c>
      <c r="J120" s="80">
        <v>6.7765808865232976E-4</v>
      </c>
      <c r="K120" s="80">
        <v>3.6436863681445921E-10</v>
      </c>
      <c r="L120" s="3"/>
    </row>
    <row r="121" spans="1:21" ht="20.100000000000001" customHeight="1" outlineLevel="1">
      <c r="A121" s="9" t="s">
        <v>2</v>
      </c>
      <c r="B121" s="8" t="s">
        <v>65</v>
      </c>
      <c r="C121" s="8"/>
      <c r="D121" s="8"/>
      <c r="E121" s="8"/>
      <c r="F121" s="8"/>
      <c r="G121" s="8"/>
      <c r="H121" s="8"/>
      <c r="I121" s="80">
        <v>-263.5898682965568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F.4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F.4.1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4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3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0.74253427729521959</v>
      </c>
      <c r="K128" s="93" t="s">
        <v>7</v>
      </c>
      <c r="L128" s="3"/>
      <c r="U128" s="99"/>
    </row>
    <row r="129" spans="1:21" ht="20.100000000000001" customHeight="1">
      <c r="A129" s="9" t="s">
        <v>2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0.63575115537527982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F.4.1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4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2.1031001583544837</v>
      </c>
      <c r="K132" s="5" t="s">
        <v>85</v>
      </c>
      <c r="L132" s="3"/>
      <c r="U132" s="99"/>
    </row>
    <row r="133" spans="1:21" ht="20.100000000000001" customHeight="1">
      <c r="A133" s="9" t="s">
        <v>3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51">
        <v>2212.1093218994611</v>
      </c>
      <c r="K133" s="5" t="s">
        <v>80</v>
      </c>
      <c r="L133" s="3"/>
      <c r="U133" s="99"/>
    </row>
    <row r="134" spans="1:21" ht="20.100000000000001" customHeight="1">
      <c r="A134" s="9" t="s">
        <v>2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87000.000000000029</v>
      </c>
      <c r="K134" s="5" t="s">
        <v>218</v>
      </c>
      <c r="L134" s="3"/>
      <c r="U134" s="99"/>
    </row>
    <row r="135" spans="1:21" ht="20.100000000000001" customHeight="1">
      <c r="A135" s="9" t="s">
        <v>6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52">
        <v>290000000.00000006</v>
      </c>
      <c r="K135" s="5" t="s">
        <v>288</v>
      </c>
      <c r="L135" s="3"/>
      <c r="U135" s="99"/>
    </row>
    <row r="136" spans="1:21" ht="20.100000000000001" customHeight="1">
      <c r="A136" s="9" t="s">
        <v>5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51">
        <v>100.21148969028162</v>
      </c>
      <c r="K136" s="5" t="s">
        <v>80</v>
      </c>
      <c r="L136" s="3"/>
      <c r="U136" s="99"/>
    </row>
    <row r="137" spans="1:21" ht="20.100000000000001" customHeight="1">
      <c r="A137" s="9" t="s">
        <v>30</v>
      </c>
      <c r="B137" s="8" t="s">
        <v>78</v>
      </c>
      <c r="C137" s="8"/>
      <c r="D137" s="8"/>
      <c r="E137" s="8"/>
      <c r="F137" s="8"/>
      <c r="G137" s="8"/>
      <c r="H137" s="8"/>
      <c r="I137" s="7" t="s">
        <v>79</v>
      </c>
      <c r="J137" s="62">
        <v>5087.1057854974342</v>
      </c>
      <c r="K137" s="5" t="s">
        <v>80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F.4.2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4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0.44036422450343377</v>
      </c>
      <c r="K140" s="5" t="s">
        <v>7</v>
      </c>
      <c r="L140" s="3"/>
      <c r="U140" s="99"/>
    </row>
    <row r="141" spans="1:21" ht="20.100000000000001" customHeight="1">
      <c r="A141" s="9" t="s">
        <v>3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14760.496964936936</v>
      </c>
      <c r="K141" s="5" t="s">
        <v>80</v>
      </c>
      <c r="L141" s="3"/>
      <c r="U141" s="99"/>
    </row>
    <row r="142" spans="1:21" ht="20.100000000000001" customHeight="1">
      <c r="A142" s="9" t="s">
        <v>2</v>
      </c>
      <c r="B142" s="8" t="s">
        <v>83</v>
      </c>
      <c r="C142" s="8"/>
      <c r="D142" s="8"/>
      <c r="E142" s="8"/>
      <c r="F142" s="8"/>
      <c r="G142" s="8"/>
      <c r="H142" s="8"/>
      <c r="I142" s="82" t="s">
        <v>84</v>
      </c>
      <c r="J142" s="6">
        <v>1.3446432594770816</v>
      </c>
      <c r="K142" s="5" t="s">
        <v>85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F.4.3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4</v>
      </c>
      <c r="B145" s="8" t="s">
        <v>72</v>
      </c>
      <c r="C145" s="8"/>
      <c r="D145" s="8"/>
      <c r="E145" s="8"/>
      <c r="F145" s="8"/>
      <c r="G145" s="8"/>
      <c r="H145" s="8"/>
      <c r="I145" s="7" t="s">
        <v>73</v>
      </c>
      <c r="J145" s="62">
        <v>2068.2520235998149</v>
      </c>
      <c r="K145" s="5" t="s">
        <v>8</v>
      </c>
      <c r="L145" s="3"/>
      <c r="U145" s="101"/>
    </row>
    <row r="146" spans="1:21" ht="20.100000000000001" customHeight="1">
      <c r="A146" s="9" t="s">
        <v>3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1261.6364202873135</v>
      </c>
      <c r="K146" s="5" t="s">
        <v>8</v>
      </c>
      <c r="L146" s="3"/>
      <c r="U146" s="101"/>
    </row>
    <row r="147" spans="1:21" ht="20.100000000000001" customHeight="1">
      <c r="A147" s="9" t="s">
        <v>2</v>
      </c>
      <c r="B147" s="8" t="s">
        <v>329</v>
      </c>
      <c r="C147" s="8"/>
      <c r="D147" s="8"/>
      <c r="E147" s="8"/>
      <c r="F147" s="8"/>
      <c r="G147" s="8"/>
      <c r="H147" s="8"/>
      <c r="I147" s="81" t="s">
        <v>330</v>
      </c>
      <c r="J147" s="62">
        <v>0</v>
      </c>
      <c r="K147" s="5" t="s">
        <v>8</v>
      </c>
      <c r="L147" s="3"/>
      <c r="U147" s="101"/>
    </row>
    <row r="148" spans="1:21" ht="20.100000000000001" customHeight="1">
      <c r="A148" s="9" t="s">
        <v>6</v>
      </c>
      <c r="B148" s="8" t="s">
        <v>81</v>
      </c>
      <c r="C148" s="8"/>
      <c r="D148" s="8"/>
      <c r="E148" s="8"/>
      <c r="F148" s="8"/>
      <c r="G148" s="8"/>
      <c r="H148" s="8"/>
      <c r="I148" s="81" t="s">
        <v>82</v>
      </c>
      <c r="J148" s="62">
        <v>-806.61560331250178</v>
      </c>
      <c r="K148" s="5" t="s">
        <v>8</v>
      </c>
      <c r="L148" s="3"/>
    </row>
    <row r="149" spans="1:21" ht="20.100000000000001" customHeight="1">
      <c r="A149" s="9" t="s">
        <v>5</v>
      </c>
      <c r="B149" s="8" t="s">
        <v>346</v>
      </c>
      <c r="C149" s="8"/>
      <c r="D149" s="8"/>
      <c r="E149" s="8"/>
      <c r="F149" s="8"/>
      <c r="G149" s="8"/>
      <c r="H149" s="8"/>
      <c r="I149" s="81" t="s">
        <v>347</v>
      </c>
      <c r="J149" s="62">
        <v>-806.61560331250178</v>
      </c>
      <c r="K149" s="5" t="s">
        <v>8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F.4.4</v>
      </c>
      <c r="B151" s="12" t="s">
        <v>254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4</v>
      </c>
      <c r="B152" s="8" t="s">
        <v>86</v>
      </c>
      <c r="C152" s="8"/>
      <c r="D152" s="8"/>
      <c r="E152" s="8"/>
      <c r="F152" s="8"/>
      <c r="G152" s="8"/>
      <c r="H152" s="8"/>
      <c r="I152" s="81" t="s">
        <v>87</v>
      </c>
      <c r="J152" s="67">
        <v>0.14230099316700437</v>
      </c>
      <c r="K152" s="5" t="s">
        <v>85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F.4.5</v>
      </c>
      <c r="B154" s="12" t="s">
        <v>255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233</v>
      </c>
      <c r="N154" s="78" t="s">
        <v>226</v>
      </c>
      <c r="O154" s="78">
        <v>1</v>
      </c>
      <c r="P154" s="78" t="s">
        <v>227</v>
      </c>
      <c r="Q154" s="78" t="s">
        <v>228</v>
      </c>
      <c r="R154" s="78" t="s">
        <v>229</v>
      </c>
      <c r="S154" s="78" t="s">
        <v>230</v>
      </c>
      <c r="U154" s="99"/>
    </row>
    <row r="155" spans="1:21" ht="20.100000000000001" customHeight="1">
      <c r="A155" s="9" t="s">
        <v>4</v>
      </c>
      <c r="B155" s="8" t="s">
        <v>221</v>
      </c>
      <c r="C155" s="8"/>
      <c r="D155" s="8"/>
      <c r="E155" s="8"/>
      <c r="F155" s="8"/>
      <c r="G155" s="8"/>
      <c r="H155" s="8"/>
      <c r="I155" s="7" t="s">
        <v>234</v>
      </c>
      <c r="J155" s="62">
        <v>1710.5339527007882</v>
      </c>
      <c r="K155" s="5" t="s">
        <v>222</v>
      </c>
      <c r="L155" s="3"/>
      <c r="M155" s="70" t="s">
        <v>232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224</v>
      </c>
      <c r="U155" s="99"/>
    </row>
    <row r="156" spans="1:21" ht="20.100000000000001" customHeight="1">
      <c r="A156" s="9" t="s">
        <v>3</v>
      </c>
      <c r="B156" s="8" t="s">
        <v>76</v>
      </c>
      <c r="C156" s="8"/>
      <c r="D156" s="8"/>
      <c r="E156" s="8"/>
      <c r="F156" s="8"/>
      <c r="G156" s="8"/>
      <c r="H156" s="8"/>
      <c r="I156" s="7" t="s">
        <v>236</v>
      </c>
      <c r="J156" s="62">
        <v>600.85776552878792</v>
      </c>
      <c r="K156" s="5" t="s">
        <v>77</v>
      </c>
      <c r="L156" s="3"/>
      <c r="M156" s="70" t="s">
        <v>231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223</v>
      </c>
      <c r="U156" s="99"/>
    </row>
    <row r="157" spans="1:21" ht="20.100000000000001" customHeight="1">
      <c r="A157" s="9" t="s">
        <v>2</v>
      </c>
      <c r="B157" s="8" t="s">
        <v>283</v>
      </c>
      <c r="C157" s="8"/>
      <c r="D157" s="8"/>
      <c r="E157" s="8"/>
      <c r="F157" s="8"/>
      <c r="G157" s="8"/>
      <c r="H157" s="8"/>
      <c r="I157" s="7" t="s">
        <v>219</v>
      </c>
      <c r="J157" s="62">
        <v>4344.0537979949813</v>
      </c>
      <c r="K157" s="5" t="s">
        <v>218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F.4.6</v>
      </c>
      <c r="B159" s="12" t="s">
        <v>239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4</v>
      </c>
      <c r="B160" s="11" t="s">
        <v>237</v>
      </c>
      <c r="C160" s="11"/>
      <c r="D160" s="11"/>
      <c r="E160" s="11"/>
      <c r="F160" s="11"/>
      <c r="G160" s="11"/>
      <c r="H160" s="11"/>
      <c r="I160" s="10" t="s">
        <v>238</v>
      </c>
      <c r="J160" s="92">
        <v>59.999999999999993</v>
      </c>
      <c r="K160" s="93" t="s">
        <v>215</v>
      </c>
      <c r="L160" s="3"/>
      <c r="U160" s="99"/>
    </row>
    <row r="161" spans="1:21" ht="20.100000000000001" customHeight="1">
      <c r="A161" s="9" t="s">
        <v>3</v>
      </c>
      <c r="B161" s="8" t="s">
        <v>70</v>
      </c>
      <c r="C161" s="8"/>
      <c r="D161" s="8"/>
      <c r="E161" s="8"/>
      <c r="F161" s="8"/>
      <c r="G161" s="8"/>
      <c r="H161" s="8"/>
      <c r="I161" s="7" t="s">
        <v>71</v>
      </c>
      <c r="J161" s="64">
        <v>225.55390100553569</v>
      </c>
      <c r="K161" s="5" t="s">
        <v>7</v>
      </c>
      <c r="L161" s="3"/>
      <c r="U161" s="100"/>
    </row>
    <row r="162" spans="1:21" ht="20.100000000000001" customHeight="1">
      <c r="A162" s="9" t="s">
        <v>2</v>
      </c>
      <c r="B162" s="8" t="s">
        <v>292</v>
      </c>
      <c r="C162" s="8"/>
      <c r="D162" s="8"/>
      <c r="E162" s="8"/>
      <c r="F162" s="8"/>
      <c r="G162" s="8"/>
      <c r="H162" s="8"/>
      <c r="I162" s="7" t="s">
        <v>291</v>
      </c>
      <c r="J162" s="64">
        <v>112.77695050276785</v>
      </c>
      <c r="K162" s="5" t="s">
        <v>7</v>
      </c>
      <c r="L162" s="3"/>
      <c r="U162" s="100"/>
    </row>
    <row r="163" spans="1:21" ht="20.100000000000001" customHeight="1">
      <c r="A163" s="9" t="s">
        <v>6</v>
      </c>
      <c r="B163" s="8" t="s">
        <v>293</v>
      </c>
      <c r="C163" s="8"/>
      <c r="D163" s="8"/>
      <c r="E163" s="8"/>
      <c r="F163" s="8"/>
      <c r="G163" s="8"/>
      <c r="H163" s="8"/>
      <c r="I163" s="7" t="s">
        <v>294</v>
      </c>
      <c r="J163" s="152">
        <v>123831110.42899768</v>
      </c>
      <c r="K163" s="5" t="s">
        <v>288</v>
      </c>
      <c r="L163" s="3"/>
      <c r="U163" s="100"/>
    </row>
    <row r="164" spans="1:21" ht="20.100000000000001" customHeight="1">
      <c r="A164" s="9" t="s">
        <v>5</v>
      </c>
      <c r="B164" s="8" t="s">
        <v>225</v>
      </c>
      <c r="C164" s="8"/>
      <c r="D164" s="8"/>
      <c r="E164" s="8"/>
      <c r="F164" s="8"/>
      <c r="G164" s="8"/>
      <c r="H164" s="8"/>
      <c r="I164" s="7" t="s">
        <v>235</v>
      </c>
      <c r="J164" s="92">
        <v>10310.000230734646</v>
      </c>
      <c r="K164" s="5" t="s">
        <v>222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30</v>
      </c>
      <c r="B165" s="17" t="s">
        <v>88</v>
      </c>
      <c r="C165" s="17"/>
      <c r="D165" s="17"/>
      <c r="E165" s="17"/>
      <c r="F165" s="17"/>
      <c r="G165" s="17"/>
      <c r="H165" s="17"/>
      <c r="I165" s="83" t="s">
        <v>89</v>
      </c>
      <c r="J165" s="84">
        <v>0.11965800564834159</v>
      </c>
      <c r="K165" s="15" t="s">
        <v>85</v>
      </c>
      <c r="L165" s="3"/>
    </row>
    <row r="166" spans="1:21" ht="20.100000000000001" customHeight="1">
      <c r="A166" s="9" t="s">
        <v>33</v>
      </c>
      <c r="B166" s="8" t="s">
        <v>90</v>
      </c>
      <c r="C166" s="8"/>
      <c r="D166" s="8"/>
      <c r="E166" s="8"/>
      <c r="F166" s="8"/>
      <c r="G166" s="8"/>
      <c r="H166" s="8"/>
      <c r="I166" s="7" t="s">
        <v>91</v>
      </c>
      <c r="J166" s="66">
        <v>0.58781085562449775</v>
      </c>
      <c r="K166" s="5" t="s">
        <v>85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24" priority="3" stopIfTrue="1" operator="between">
      <formula>0</formula>
      <formula>1</formula>
    </cfRule>
  </conditionalFormatting>
  <conditionalFormatting sqref="K94">
    <cfRule type="cellIs" dxfId="23" priority="2" stopIfTrue="1" operator="between">
      <formula>0</formula>
      <formula>1</formula>
    </cfRule>
  </conditionalFormatting>
  <conditionalFormatting sqref="K124">
    <cfRule type="cellIs" dxfId="22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3A33-49D9-4D1E-B055-7400878A7BE4}">
  <sheetPr codeName="Sheet3">
    <pageSetUpPr fitToPage="1"/>
  </sheetPr>
  <dimension ref="A1:DJ180"/>
  <sheetViews>
    <sheetView showGridLines="0" zoomScaleNormal="100" workbookViewId="0">
      <pane ySplit="1" topLeftCell="A126" activePane="bottomLeft" state="frozen"/>
      <selection pane="bottomLeft" activeCell="J149" sqref="J149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19</v>
      </c>
      <c r="C1" s="56"/>
      <c r="D1" s="56"/>
      <c r="E1" s="56"/>
      <c r="F1" s="56"/>
      <c r="G1" s="56"/>
      <c r="H1" s="55"/>
      <c r="I1" s="55"/>
      <c r="J1" s="54" t="s">
        <v>18</v>
      </c>
      <c r="K1" s="53" t="s">
        <v>17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1" t="s">
        <v>16</v>
      </c>
      <c r="B3" s="162"/>
      <c r="C3" s="162"/>
      <c r="D3" s="162"/>
      <c r="E3" s="162"/>
      <c r="F3" s="162"/>
      <c r="G3" s="162"/>
      <c r="H3" s="162"/>
      <c r="I3" s="162"/>
      <c r="J3" s="162"/>
      <c r="K3" s="162"/>
    </row>
    <row r="4" spans="1:15" s="46" customFormat="1" ht="20.100000000000001" hidden="1" customHeight="1" outlineLevel="1">
      <c r="A4" s="47" t="s">
        <v>15</v>
      </c>
      <c r="B4" s="163" t="s">
        <v>14</v>
      </c>
      <c r="C4" s="163"/>
      <c r="D4" s="163"/>
      <c r="E4" s="163"/>
      <c r="F4" s="163"/>
      <c r="G4" s="163"/>
      <c r="H4" s="47" t="s">
        <v>13</v>
      </c>
      <c r="I4" s="47" t="s">
        <v>12</v>
      </c>
      <c r="J4" s="47" t="s">
        <v>11</v>
      </c>
      <c r="K4" s="47" t="s">
        <v>10</v>
      </c>
    </row>
    <row r="5" spans="1:15" s="41" customFormat="1" ht="20.100000000000001" hidden="1" customHeight="1" outlineLevel="1">
      <c r="A5" s="45"/>
      <c r="B5" s="155"/>
      <c r="C5" s="156"/>
      <c r="D5" s="156"/>
      <c r="E5" s="156"/>
      <c r="F5" s="156"/>
      <c r="G5" s="157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55"/>
      <c r="C6" s="156"/>
      <c r="D6" s="156"/>
      <c r="E6" s="156"/>
      <c r="F6" s="156"/>
      <c r="G6" s="157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55"/>
      <c r="C7" s="156"/>
      <c r="D7" s="156"/>
      <c r="E7" s="156"/>
      <c r="F7" s="156"/>
      <c r="G7" s="157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55"/>
      <c r="C8" s="156"/>
      <c r="D8" s="156"/>
      <c r="E8" s="156"/>
      <c r="F8" s="156"/>
      <c r="G8" s="157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55"/>
      <c r="C9" s="156"/>
      <c r="D9" s="156"/>
      <c r="E9" s="156"/>
      <c r="F9" s="156"/>
      <c r="G9" s="157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228</v>
      </c>
      <c r="B11" s="37" t="s">
        <v>325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58" t="s">
        <v>100</v>
      </c>
      <c r="C13" s="158"/>
      <c r="D13" s="160" t="str">
        <f>Gap30deg!D13</f>
        <v>SP2200052</v>
      </c>
      <c r="E13" s="160"/>
      <c r="F13" s="160"/>
      <c r="G13" s="160"/>
      <c r="H13" s="160"/>
      <c r="I13" s="160"/>
      <c r="J13" s="160"/>
      <c r="K13" s="160"/>
      <c r="L13" s="86"/>
    </row>
    <row r="14" spans="1:15" s="85" customFormat="1" ht="20.100000000000001" customHeight="1" outlineLevel="1">
      <c r="A14" s="87"/>
      <c r="B14" s="158" t="s">
        <v>99</v>
      </c>
      <c r="C14" s="158"/>
      <c r="D14" s="160" t="str">
        <f>Gap30deg!D14</f>
        <v>Stichting GROW</v>
      </c>
      <c r="E14" s="160"/>
      <c r="F14" s="160"/>
      <c r="G14" s="160"/>
      <c r="H14" s="160"/>
      <c r="I14" s="160"/>
      <c r="J14" s="160"/>
      <c r="K14" s="160"/>
      <c r="L14" s="86"/>
    </row>
    <row r="15" spans="1:15" s="85" customFormat="1" ht="20.100000000000001" customHeight="1" outlineLevel="1">
      <c r="A15" s="87"/>
      <c r="B15" s="158" t="s">
        <v>98</v>
      </c>
      <c r="C15" s="158"/>
      <c r="D15" s="160" t="str">
        <f>Gap30deg!D15</f>
        <v>Bolt and Beautiful</v>
      </c>
      <c r="E15" s="160"/>
      <c r="F15" s="160"/>
      <c r="G15" s="160"/>
      <c r="H15" s="160"/>
      <c r="I15" s="160"/>
      <c r="J15" s="160"/>
      <c r="K15" s="160"/>
      <c r="L15" s="86"/>
    </row>
    <row r="16" spans="1:15" s="85" customFormat="1" ht="20.100000000000001" customHeight="1" outlineLevel="1">
      <c r="A16" s="87"/>
      <c r="B16" s="158" t="s">
        <v>97</v>
      </c>
      <c r="C16" s="158"/>
      <c r="D16" s="160" t="str">
        <f>Title</f>
        <v>Flange Segment Analytical Model for 90° gap size and shape factor 1.2</v>
      </c>
      <c r="E16" s="160"/>
      <c r="F16" s="160"/>
      <c r="G16" s="160"/>
      <c r="H16" s="160"/>
      <c r="I16" s="160"/>
      <c r="J16" s="160"/>
      <c r="K16" s="160"/>
      <c r="L16" s="86"/>
      <c r="M16" s="88"/>
    </row>
    <row r="17" spans="1:22" s="85" customFormat="1" ht="20.100000000000001" customHeight="1" outlineLevel="1">
      <c r="A17" s="87"/>
      <c r="B17" s="158" t="s">
        <v>96</v>
      </c>
      <c r="C17" s="158"/>
      <c r="D17" s="160">
        <f>Gap30deg!D17</f>
        <v>0.1</v>
      </c>
      <c r="E17" s="160"/>
      <c r="F17" s="160"/>
      <c r="G17" s="160"/>
      <c r="H17" s="160"/>
      <c r="I17" s="160"/>
      <c r="J17" s="160"/>
      <c r="K17" s="160"/>
      <c r="L17" s="86"/>
    </row>
    <row r="18" spans="1:22" s="85" customFormat="1" ht="20.100000000000001" customHeight="1" outlineLevel="1">
      <c r="A18" s="87"/>
      <c r="B18" s="158" t="s">
        <v>95</v>
      </c>
      <c r="C18" s="158"/>
      <c r="D18" s="159">
        <f>Gap30deg!D18</f>
        <v>45432</v>
      </c>
      <c r="E18" s="159"/>
      <c r="F18" s="159"/>
      <c r="G18" s="159"/>
      <c r="H18" s="159"/>
      <c r="I18" s="159"/>
      <c r="J18" s="159"/>
      <c r="K18" s="159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G.1</v>
      </c>
      <c r="B21" s="14" t="s">
        <v>20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9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5"/>
      <c r="C28" s="166"/>
      <c r="D28" s="166"/>
      <c r="E28" s="166"/>
      <c r="F28" s="166"/>
      <c r="G28" s="166"/>
      <c r="H28" s="166"/>
      <c r="I28" s="166"/>
      <c r="J28" s="166"/>
      <c r="K28" s="167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G.1.1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4</v>
      </c>
      <c r="B36" s="11" t="s">
        <v>21</v>
      </c>
      <c r="C36" s="11"/>
      <c r="D36" s="11"/>
      <c r="E36" s="11"/>
      <c r="F36" s="11"/>
      <c r="G36" s="11"/>
      <c r="H36" s="11"/>
      <c r="I36" s="10" t="s">
        <v>22</v>
      </c>
      <c r="J36" s="92">
        <v>232.5</v>
      </c>
      <c r="K36" s="93" t="s">
        <v>7</v>
      </c>
      <c r="L36" s="3"/>
    </row>
    <row r="37" spans="1:22" ht="20.100000000000001" customHeight="1" outlineLevel="1">
      <c r="A37" s="9" t="s">
        <v>3</v>
      </c>
      <c r="B37" s="8" t="s">
        <v>23</v>
      </c>
      <c r="C37" s="8"/>
      <c r="D37" s="8"/>
      <c r="E37" s="8"/>
      <c r="F37" s="8"/>
      <c r="G37" s="8"/>
      <c r="H37" s="8"/>
      <c r="I37" s="7" t="s">
        <v>24</v>
      </c>
      <c r="J37" s="62">
        <v>166.5</v>
      </c>
      <c r="K37" s="5" t="s">
        <v>7</v>
      </c>
      <c r="L37" s="3"/>
    </row>
    <row r="38" spans="1:22" ht="20.100000000000001" customHeight="1" outlineLevel="1">
      <c r="A38" s="9" t="s">
        <v>3</v>
      </c>
      <c r="B38" s="8" t="s">
        <v>25</v>
      </c>
      <c r="C38" s="8"/>
      <c r="D38" s="8"/>
      <c r="E38" s="8"/>
      <c r="F38" s="8"/>
      <c r="G38" s="8"/>
      <c r="H38" s="8"/>
      <c r="I38" s="7" t="s">
        <v>26</v>
      </c>
      <c r="J38" s="62">
        <v>72</v>
      </c>
      <c r="K38" s="5" t="s">
        <v>7</v>
      </c>
      <c r="L38" s="3"/>
    </row>
    <row r="39" spans="1:22" ht="20.100000000000001" customHeight="1" outlineLevel="1">
      <c r="A39" s="9" t="s">
        <v>2</v>
      </c>
      <c r="B39" s="8" t="s">
        <v>27</v>
      </c>
      <c r="C39" s="8"/>
      <c r="D39" s="8"/>
      <c r="E39" s="8"/>
      <c r="F39" s="8"/>
      <c r="G39" s="8"/>
      <c r="H39" s="8"/>
      <c r="I39" s="7" t="s">
        <v>28</v>
      </c>
      <c r="J39" s="62">
        <v>200</v>
      </c>
      <c r="K39" s="5" t="s">
        <v>7</v>
      </c>
      <c r="L39" s="3"/>
    </row>
    <row r="40" spans="1:22" ht="20.100000000000001" customHeight="1" outlineLevel="1">
      <c r="A40" s="9" t="s">
        <v>6</v>
      </c>
      <c r="B40" s="8" t="s">
        <v>295</v>
      </c>
      <c r="C40" s="8"/>
      <c r="D40" s="8"/>
      <c r="E40" s="8"/>
      <c r="F40" s="8"/>
      <c r="G40" s="8"/>
      <c r="H40" s="8"/>
      <c r="I40" s="7" t="s">
        <v>296</v>
      </c>
      <c r="J40" s="62">
        <v>3</v>
      </c>
      <c r="K40" s="5" t="s">
        <v>215</v>
      </c>
      <c r="L40" s="3"/>
    </row>
    <row r="41" spans="1:22" ht="20.100000000000001" customHeight="1" outlineLevel="1">
      <c r="A41" s="9" t="s">
        <v>5</v>
      </c>
      <c r="B41" s="8" t="s">
        <v>290</v>
      </c>
      <c r="C41" s="8"/>
      <c r="D41" s="8"/>
      <c r="E41" s="8"/>
      <c r="F41" s="8"/>
      <c r="G41" s="8"/>
      <c r="H41" s="8"/>
      <c r="I41" s="7" t="s">
        <v>29</v>
      </c>
      <c r="J41" s="62">
        <v>3750</v>
      </c>
      <c r="K41" s="5" t="s">
        <v>7</v>
      </c>
      <c r="L41" s="3"/>
    </row>
    <row r="42" spans="1:22" ht="20.100000000000001" customHeight="1" outlineLevel="1">
      <c r="A42" s="9" t="s">
        <v>30</v>
      </c>
      <c r="B42" s="17" t="s">
        <v>319</v>
      </c>
      <c r="C42" s="17"/>
      <c r="D42" s="17"/>
      <c r="E42" s="17"/>
      <c r="F42" s="17"/>
      <c r="G42" s="17"/>
      <c r="H42" s="17"/>
      <c r="I42" s="16" t="s">
        <v>31</v>
      </c>
      <c r="J42" s="64">
        <v>-123.29166666666667</v>
      </c>
      <c r="K42" s="15" t="s">
        <v>8</v>
      </c>
      <c r="L42" s="3"/>
    </row>
    <row r="43" spans="1:22" ht="20.100000000000001" customHeight="1" outlineLevel="1">
      <c r="A43" s="9" t="s">
        <v>33</v>
      </c>
      <c r="B43" s="17" t="s">
        <v>50</v>
      </c>
      <c r="C43" s="17"/>
      <c r="D43" s="17"/>
      <c r="E43" s="17"/>
      <c r="F43" s="17"/>
      <c r="G43" s="17"/>
      <c r="H43" s="17"/>
      <c r="I43" s="16" t="s">
        <v>52</v>
      </c>
      <c r="J43" s="64">
        <v>210</v>
      </c>
      <c r="K43" s="15" t="s">
        <v>54</v>
      </c>
      <c r="L43" s="3"/>
    </row>
    <row r="44" spans="1:22" ht="20.100000000000001" customHeight="1" outlineLevel="1">
      <c r="A44" s="9" t="s">
        <v>34</v>
      </c>
      <c r="B44" s="8" t="s">
        <v>51</v>
      </c>
      <c r="C44" s="8"/>
      <c r="D44" s="8"/>
      <c r="E44" s="8"/>
      <c r="F44" s="8"/>
      <c r="G44" s="8"/>
      <c r="H44" s="8"/>
      <c r="I44" s="7" t="s">
        <v>53</v>
      </c>
      <c r="J44" s="62">
        <v>80.77</v>
      </c>
      <c r="K44" s="5" t="s">
        <v>54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G.1.2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4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40</v>
      </c>
      <c r="K47" s="5"/>
      <c r="L47" s="3"/>
    </row>
    <row r="48" spans="1:22" ht="20.100000000000001" customHeight="1" outlineLevel="1">
      <c r="A48" s="9" t="s">
        <v>3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7</v>
      </c>
      <c r="L48" s="3"/>
    </row>
    <row r="49" spans="1:12" ht="20.100000000000001" customHeight="1" outlineLevel="1">
      <c r="A49" s="9" t="s">
        <v>2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7</v>
      </c>
      <c r="L49" s="3"/>
    </row>
    <row r="50" spans="1:12" ht="20.100000000000001" customHeight="1" outlineLevel="1">
      <c r="A50" s="9" t="s">
        <v>6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7</v>
      </c>
      <c r="L50" s="3"/>
    </row>
    <row r="51" spans="1:12" ht="20.100000000000001" customHeight="1" outlineLevel="1">
      <c r="A51" s="9" t="s">
        <v>5</v>
      </c>
      <c r="B51" s="8" t="s">
        <v>37</v>
      </c>
      <c r="C51" s="8"/>
      <c r="D51" s="8"/>
      <c r="E51" s="8"/>
      <c r="F51" s="8"/>
      <c r="G51" s="8"/>
      <c r="H51" s="8"/>
      <c r="I51" s="7" t="s">
        <v>39</v>
      </c>
      <c r="J51" s="61">
        <v>6</v>
      </c>
      <c r="K51" s="5" t="s">
        <v>7</v>
      </c>
      <c r="L51" s="3"/>
    </row>
    <row r="52" spans="1:12" ht="20.100000000000001" customHeight="1" outlineLevel="1">
      <c r="A52" s="9" t="s">
        <v>30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33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34</v>
      </c>
      <c r="B54" s="17" t="s">
        <v>117</v>
      </c>
      <c r="C54" s="17"/>
      <c r="D54" s="17"/>
      <c r="E54" s="17"/>
      <c r="F54" s="17"/>
      <c r="G54" s="17"/>
      <c r="H54" s="17"/>
      <c r="I54" s="16" t="s">
        <v>52</v>
      </c>
      <c r="J54" s="65">
        <v>210</v>
      </c>
      <c r="K54" s="15" t="s">
        <v>54</v>
      </c>
      <c r="L54" s="3"/>
    </row>
    <row r="55" spans="1:12" ht="20.100000000000001" customHeight="1" outlineLevel="1">
      <c r="A55" s="9" t="s">
        <v>35</v>
      </c>
      <c r="B55" s="17" t="s">
        <v>32</v>
      </c>
      <c r="C55" s="17"/>
      <c r="D55" s="17"/>
      <c r="E55" s="17"/>
      <c r="F55" s="17"/>
      <c r="G55" s="17"/>
      <c r="H55" s="17"/>
      <c r="I55" s="16" t="s">
        <v>36</v>
      </c>
      <c r="J55" s="65">
        <v>2876</v>
      </c>
      <c r="K55" s="15" t="s">
        <v>8</v>
      </c>
      <c r="L55" s="3"/>
    </row>
    <row r="56" spans="1:12" ht="20.100000000000001" customHeight="1" outlineLevel="1">
      <c r="A56" s="9" t="s">
        <v>38</v>
      </c>
      <c r="B56" s="8" t="s">
        <v>41</v>
      </c>
      <c r="C56" s="8"/>
      <c r="D56" s="8"/>
      <c r="E56" s="8"/>
      <c r="F56" s="8"/>
      <c r="G56" s="8"/>
      <c r="H56" s="8"/>
      <c r="I56" s="7" t="s">
        <v>47</v>
      </c>
      <c r="J56" s="62">
        <v>86</v>
      </c>
      <c r="K56" s="5" t="s">
        <v>7</v>
      </c>
      <c r="L56" s="3"/>
    </row>
    <row r="57" spans="1:12" ht="20.100000000000001" customHeight="1" outlineLevel="1">
      <c r="A57" s="9" t="s">
        <v>49</v>
      </c>
      <c r="B57" s="8" t="s">
        <v>42</v>
      </c>
      <c r="C57" s="8"/>
      <c r="D57" s="8"/>
      <c r="E57" s="8"/>
      <c r="F57" s="8"/>
      <c r="G57" s="8"/>
      <c r="H57" s="8"/>
      <c r="I57" s="7" t="s">
        <v>48</v>
      </c>
      <c r="J57" s="62">
        <v>140</v>
      </c>
      <c r="K57" s="5" t="s">
        <v>7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G.1.3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4</v>
      </c>
      <c r="B60" s="11" t="s">
        <v>43</v>
      </c>
      <c r="C60" s="11"/>
      <c r="D60" s="11"/>
      <c r="E60" s="11"/>
      <c r="F60" s="11"/>
      <c r="G60" s="11"/>
      <c r="H60" s="11"/>
      <c r="I60" s="10" t="s">
        <v>46</v>
      </c>
      <c r="J60" s="97">
        <v>2.6525058127308663</v>
      </c>
      <c r="K60" s="93" t="s">
        <v>7</v>
      </c>
      <c r="L60" s="3"/>
    </row>
    <row r="61" spans="1:12" ht="20.100000000000001" customHeight="1" outlineLevel="1">
      <c r="A61" s="9" t="s">
        <v>3</v>
      </c>
      <c r="B61" s="8" t="s">
        <v>44</v>
      </c>
      <c r="C61" s="8"/>
      <c r="D61" s="8"/>
      <c r="E61" s="8"/>
      <c r="F61" s="8"/>
      <c r="G61" s="8"/>
      <c r="H61" s="8"/>
      <c r="I61" s="7" t="s">
        <v>45</v>
      </c>
      <c r="J61" s="98">
        <v>5890.4862254808613</v>
      </c>
      <c r="K61" s="5" t="s">
        <v>7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G.2</v>
      </c>
      <c r="B64" s="14" t="s">
        <v>55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-877.76138096978389</v>
      </c>
      <c r="P66" s="71">
        <v>-851.97614208130824</v>
      </c>
      <c r="Q66" s="71">
        <v>-826.19090319283259</v>
      </c>
      <c r="R66" s="71">
        <v>-800.40566430435706</v>
      </c>
      <c r="S66" s="71">
        <v>-774.62042541588141</v>
      </c>
      <c r="T66" s="71">
        <v>-748.83518652740588</v>
      </c>
      <c r="U66" s="71">
        <v>-723.04994763893012</v>
      </c>
      <c r="V66" s="71">
        <v>-697.26470875045459</v>
      </c>
      <c r="W66" s="71">
        <v>-671.47946986197894</v>
      </c>
      <c r="X66" s="71">
        <v>-645.69423097350329</v>
      </c>
      <c r="Y66" s="71">
        <v>-619.90899208502776</v>
      </c>
      <c r="Z66" s="71">
        <v>-594.12375319655212</v>
      </c>
      <c r="AA66" s="71">
        <v>-568.33851430807647</v>
      </c>
      <c r="AB66" s="71">
        <v>-542.55327541960094</v>
      </c>
      <c r="AC66" s="71">
        <v>-516.76803653112529</v>
      </c>
      <c r="AD66" s="71">
        <v>-490.9827976426497</v>
      </c>
      <c r="AE66" s="71">
        <v>-465.19755875417405</v>
      </c>
      <c r="AF66" s="71">
        <v>-439.41231986569841</v>
      </c>
      <c r="AG66" s="71">
        <v>-413.62708097722282</v>
      </c>
      <c r="AH66" s="71">
        <v>-387.84184208874717</v>
      </c>
      <c r="AI66" s="71">
        <v>-362.05660320027158</v>
      </c>
      <c r="AJ66" s="71">
        <v>-336.27136431179594</v>
      </c>
      <c r="AK66" s="71">
        <v>-310.48612542332035</v>
      </c>
      <c r="AL66" s="71">
        <v>-284.70088653484476</v>
      </c>
      <c r="AM66" s="71">
        <v>-258.91564764636905</v>
      </c>
      <c r="AN66" s="71">
        <v>-233.13040875789349</v>
      </c>
      <c r="AO66" s="71">
        <v>-207.3451698694179</v>
      </c>
      <c r="AP66" s="71">
        <v>-181.55993098094234</v>
      </c>
      <c r="AQ66" s="71">
        <v>-155.77469209246664</v>
      </c>
      <c r="AR66" s="71">
        <v>-129.98945320399105</v>
      </c>
      <c r="AS66" s="71">
        <v>-104.20421431551547</v>
      </c>
      <c r="AT66" s="71">
        <v>-78.418975427039783</v>
      </c>
      <c r="AU66" s="71">
        <v>-52.633736538564207</v>
      </c>
      <c r="AV66" s="71">
        <v>-26.848497650088625</v>
      </c>
      <c r="AW66" s="71">
        <v>-1.0632587616129312</v>
      </c>
      <c r="AX66" s="71">
        <v>24.721980126862647</v>
      </c>
      <c r="AY66" s="71">
        <v>50.507219015338222</v>
      </c>
      <c r="AZ66" s="71">
        <v>76.292457903813926</v>
      </c>
      <c r="BA66" s="71">
        <v>102.0776967922895</v>
      </c>
      <c r="BB66" s="71">
        <v>127.86293568076508</v>
      </c>
      <c r="BC66" s="71">
        <v>153.64817456924067</v>
      </c>
      <c r="BD66" s="71">
        <v>179.43341345771623</v>
      </c>
      <c r="BE66" s="71">
        <v>205.21865234619204</v>
      </c>
      <c r="BF66" s="71">
        <v>231.00389123466763</v>
      </c>
      <c r="BG66" s="71">
        <v>256.7891301231432</v>
      </c>
      <c r="BH66" s="71">
        <v>282.57436901161878</v>
      </c>
      <c r="BI66" s="71">
        <v>308.35960790009437</v>
      </c>
      <c r="BJ66" s="71">
        <v>334.14484678856991</v>
      </c>
      <c r="BK66" s="71">
        <v>359.93008567704572</v>
      </c>
      <c r="BL66" s="71">
        <v>385.71532456552131</v>
      </c>
      <c r="BM66" s="71">
        <v>411.5005634539969</v>
      </c>
      <c r="BN66" s="71">
        <v>437.28580234247249</v>
      </c>
      <c r="BO66" s="71">
        <v>463.07104123094808</v>
      </c>
      <c r="BP66" s="71">
        <v>488.85628011942362</v>
      </c>
      <c r="BQ66" s="71">
        <v>514.64151900789921</v>
      </c>
      <c r="BR66" s="71">
        <v>540.42675789637508</v>
      </c>
      <c r="BS66" s="71">
        <v>566.21199678485061</v>
      </c>
      <c r="BT66" s="71">
        <v>591.99723567332614</v>
      </c>
      <c r="BU66" s="71">
        <v>617.78247456180179</v>
      </c>
      <c r="BV66" s="71">
        <v>643.56771345027732</v>
      </c>
      <c r="BW66" s="71">
        <v>669.35295233875297</v>
      </c>
      <c r="BX66" s="71">
        <v>695.13819122722873</v>
      </c>
      <c r="BY66" s="71">
        <v>720.92343011570426</v>
      </c>
      <c r="BZ66" s="71">
        <v>746.70866900417991</v>
      </c>
      <c r="CA66" s="71">
        <v>772.49390789265544</v>
      </c>
      <c r="CB66" s="71">
        <v>798.27914678113109</v>
      </c>
      <c r="CC66" s="71">
        <v>824.06438566960662</v>
      </c>
      <c r="CD66" s="71">
        <v>849.84962455808216</v>
      </c>
      <c r="CE66" s="71">
        <v>875.63486344655803</v>
      </c>
      <c r="CF66" s="71">
        <v>901.42010233503356</v>
      </c>
      <c r="CG66" s="71">
        <v>927.20534122350921</v>
      </c>
      <c r="CH66" s="71">
        <v>952.99058011198474</v>
      </c>
      <c r="CI66" s="71">
        <v>978.77581900046027</v>
      </c>
      <c r="CJ66" s="71">
        <v>1004.5610578889359</v>
      </c>
      <c r="CK66" s="71">
        <v>1030.3462967774117</v>
      </c>
      <c r="CL66" s="71">
        <v>1056.1315356658874</v>
      </c>
      <c r="CM66" s="71">
        <v>1081.916774554363</v>
      </c>
      <c r="CN66" s="71">
        <v>1107.7020134428385</v>
      </c>
      <c r="CO66" s="71">
        <v>1133.487252331314</v>
      </c>
      <c r="CP66" s="71">
        <v>1159.2724912197898</v>
      </c>
      <c r="CQ66" s="71">
        <v>1185.0577301082653</v>
      </c>
      <c r="CR66" s="71">
        <v>1210.8429689967409</v>
      </c>
      <c r="CS66" s="71">
        <v>1236.6282078852164</v>
      </c>
      <c r="CT66" s="71">
        <v>1262.4134467736919</v>
      </c>
      <c r="CU66" s="71">
        <v>1288.1986856621681</v>
      </c>
      <c r="CV66" s="71">
        <v>1313.9839245506437</v>
      </c>
      <c r="CW66" s="71">
        <v>1339.7691634391192</v>
      </c>
      <c r="CX66" s="71">
        <v>1365.5544023275947</v>
      </c>
      <c r="CY66" s="71">
        <v>1391.3396412160705</v>
      </c>
      <c r="CZ66" s="71">
        <v>1417.124880104546</v>
      </c>
      <c r="DA66" s="71">
        <v>1442.9101189930216</v>
      </c>
      <c r="DB66" s="71">
        <v>1468.6953578814971</v>
      </c>
      <c r="DC66" s="71">
        <v>1494.4805967699726</v>
      </c>
      <c r="DD66" s="71">
        <v>1520.2658356584484</v>
      </c>
      <c r="DE66" s="71">
        <v>1546.0510745469239</v>
      </c>
      <c r="DF66" s="71">
        <v>1571.8363134353995</v>
      </c>
      <c r="DG66" s="71">
        <v>1597.6215523238754</v>
      </c>
      <c r="DH66" s="71">
        <v>1623.406791212351</v>
      </c>
      <c r="DI66" s="71">
        <v>1649.1920301008267</v>
      </c>
      <c r="DJ66" s="71">
        <v>1674.9772689893023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2834.779262526954</v>
      </c>
      <c r="P67" s="71">
        <v>2834.779262526954</v>
      </c>
      <c r="Q67" s="71">
        <v>2834.78701306732</v>
      </c>
      <c r="R67" s="71">
        <v>2834.8818751304193</v>
      </c>
      <c r="S67" s="71">
        <v>2835.0846590043034</v>
      </c>
      <c r="T67" s="71">
        <v>2835.3953646889722</v>
      </c>
      <c r="U67" s="71">
        <v>2835.8139921844254</v>
      </c>
      <c r="V67" s="71">
        <v>2836.3405414906633</v>
      </c>
      <c r="W67" s="71">
        <v>2836.9750126076856</v>
      </c>
      <c r="X67" s="71">
        <v>2837.7174055354935</v>
      </c>
      <c r="Y67" s="71">
        <v>2838.5677202740858</v>
      </c>
      <c r="Z67" s="71">
        <v>2839.5259568234628</v>
      </c>
      <c r="AA67" s="71">
        <v>2840.5921151836242</v>
      </c>
      <c r="AB67" s="71">
        <v>2841.7661953545703</v>
      </c>
      <c r="AC67" s="71">
        <v>2843.0481973363012</v>
      </c>
      <c r="AD67" s="71">
        <v>2844.4381211288169</v>
      </c>
      <c r="AE67" s="71">
        <v>2845.9359667321173</v>
      </c>
      <c r="AF67" s="71">
        <v>2847.541734146203</v>
      </c>
      <c r="AG67" s="71">
        <v>2849.2554233710725</v>
      </c>
      <c r="AH67" s="71">
        <v>2851.0770344067273</v>
      </c>
      <c r="AI67" s="71">
        <v>2853.0065672531664</v>
      </c>
      <c r="AJ67" s="71">
        <v>2855.0440219103903</v>
      </c>
      <c r="AK67" s="71">
        <v>2857.1893983783993</v>
      </c>
      <c r="AL67" s="71">
        <v>2859.4426966571923</v>
      </c>
      <c r="AM67" s="71">
        <v>2861.8039167467705</v>
      </c>
      <c r="AN67" s="71">
        <v>2864.2730586471334</v>
      </c>
      <c r="AO67" s="71">
        <v>2866.8501223582812</v>
      </c>
      <c r="AP67" s="71">
        <v>2869.5351078802132</v>
      </c>
      <c r="AQ67" s="71">
        <v>2872.3280152129305</v>
      </c>
      <c r="AR67" s="71">
        <v>2875.2288443564321</v>
      </c>
      <c r="AS67" s="71">
        <v>2878.2899415571128</v>
      </c>
      <c r="AT67" s="71">
        <v>2881.643571682172</v>
      </c>
      <c r="AU67" s="71">
        <v>2885.2961801663801</v>
      </c>
      <c r="AV67" s="71">
        <v>2889.2477670097378</v>
      </c>
      <c r="AW67" s="71">
        <v>2893.4983322122453</v>
      </c>
      <c r="AX67" s="71">
        <v>2898.0478757739011</v>
      </c>
      <c r="AY67" s="71">
        <v>2902.8963976947066</v>
      </c>
      <c r="AZ67" s="71">
        <v>2908.0438979746609</v>
      </c>
      <c r="BA67" s="71">
        <v>2913.490376613765</v>
      </c>
      <c r="BB67" s="71">
        <v>2919.2358336120183</v>
      </c>
      <c r="BC67" s="71">
        <v>2925.2802689694208</v>
      </c>
      <c r="BD67" s="71">
        <v>2931.6236826859722</v>
      </c>
      <c r="BE67" s="71">
        <v>2938.2660747616733</v>
      </c>
      <c r="BF67" s="71">
        <v>2945.2074451965232</v>
      </c>
      <c r="BG67" s="71">
        <v>2952.4477939905228</v>
      </c>
      <c r="BH67" s="71">
        <v>2959.9871211436712</v>
      </c>
      <c r="BI67" s="71">
        <v>2967.8254266559693</v>
      </c>
      <c r="BJ67" s="71">
        <v>2975.9627105274162</v>
      </c>
      <c r="BK67" s="71">
        <v>2984.3989727580124</v>
      </c>
      <c r="BL67" s="71">
        <v>2993.1342133477583</v>
      </c>
      <c r="BM67" s="71">
        <v>3002.168432296653</v>
      </c>
      <c r="BN67" s="71">
        <v>3011.501629604697</v>
      </c>
      <c r="BO67" s="71">
        <v>3021.1338052718902</v>
      </c>
      <c r="BP67" s="71">
        <v>3031.0649592982327</v>
      </c>
      <c r="BQ67" s="71">
        <v>3041.2950916837244</v>
      </c>
      <c r="BR67" s="71">
        <v>3051.824202428365</v>
      </c>
      <c r="BS67" s="71">
        <v>3062.6522915321557</v>
      </c>
      <c r="BT67" s="71">
        <v>3073.7793589950948</v>
      </c>
      <c r="BU67" s="71">
        <v>3085.2054048171835</v>
      </c>
      <c r="BV67" s="71">
        <v>3096.9304289984216</v>
      </c>
      <c r="BW67" s="71">
        <v>3108.9544315388084</v>
      </c>
      <c r="BX67" s="71">
        <v>3121.277412438345</v>
      </c>
      <c r="BY67" s="71">
        <v>3133.8993716970303</v>
      </c>
      <c r="BZ67" s="71">
        <v>3146.8203093148654</v>
      </c>
      <c r="CA67" s="71">
        <v>3160.0402252918498</v>
      </c>
      <c r="CB67" s="71">
        <v>3173.5591196279829</v>
      </c>
      <c r="CC67" s="71">
        <v>3187.3769923232653</v>
      </c>
      <c r="CD67" s="71">
        <v>3201.4938433776974</v>
      </c>
      <c r="CE67" s="71">
        <v>3215.9096727912784</v>
      </c>
      <c r="CF67" s="71">
        <v>3230.6244805640085</v>
      </c>
      <c r="CG67" s="71">
        <v>3245.6382666958884</v>
      </c>
      <c r="CH67" s="71">
        <v>3260.9510311869167</v>
      </c>
      <c r="CI67" s="71">
        <v>3276.5627740370946</v>
      </c>
      <c r="CJ67" s="71">
        <v>3292.4734952464219</v>
      </c>
      <c r="CK67" s="71">
        <v>3308.6831948148983</v>
      </c>
      <c r="CL67" s="71">
        <v>3325.1918727425245</v>
      </c>
      <c r="CM67" s="71">
        <v>3341.9995290292991</v>
      </c>
      <c r="CN67" s="71">
        <v>3359.1061636752233</v>
      </c>
      <c r="CO67" s="71">
        <v>3376.5117766802969</v>
      </c>
      <c r="CP67" s="71">
        <v>3394.2163680445192</v>
      </c>
      <c r="CQ67" s="71">
        <v>3412.2199377678912</v>
      </c>
      <c r="CR67" s="71">
        <v>3430.5224858504125</v>
      </c>
      <c r="CS67" s="71">
        <v>3449.1240122920826</v>
      </c>
      <c r="CT67" s="71">
        <v>3468.024517092902</v>
      </c>
      <c r="CU67" s="71">
        <v>3487.2240002528715</v>
      </c>
      <c r="CV67" s="71">
        <v>3506.7224617719894</v>
      </c>
      <c r="CW67" s="71">
        <v>3526.519901650257</v>
      </c>
      <c r="CX67" s="71">
        <v>3546.6163198876729</v>
      </c>
      <c r="CY67" s="71">
        <v>3567.0117164842391</v>
      </c>
      <c r="CZ67" s="71">
        <v>3587.706091439954</v>
      </c>
      <c r="DA67" s="71">
        <v>3608.6994447548186</v>
      </c>
      <c r="DB67" s="71">
        <v>3629.9917764288316</v>
      </c>
      <c r="DC67" s="71">
        <v>3651.5830864619943</v>
      </c>
      <c r="DD67" s="71">
        <v>3673.4733748543063</v>
      </c>
      <c r="DE67" s="71">
        <v>3695.6626416057675</v>
      </c>
      <c r="DF67" s="71">
        <v>3718.150886716378</v>
      </c>
      <c r="DG67" s="71">
        <v>3740.9381101861377</v>
      </c>
      <c r="DH67" s="71">
        <v>3764.0243120150467</v>
      </c>
      <c r="DI67" s="71">
        <v>3787.4094922031049</v>
      </c>
      <c r="DJ67" s="71">
        <v>3811.093650750312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56</v>
      </c>
      <c r="O68" s="71">
        <v>-246.28088167824194</v>
      </c>
      <c r="P68" s="71">
        <v>-246.28088167824194</v>
      </c>
      <c r="Q68" s="71">
        <v>-246.24027263712406</v>
      </c>
      <c r="R68" s="71">
        <v>-245.74324181876682</v>
      </c>
      <c r="S68" s="71">
        <v>-244.68075349104845</v>
      </c>
      <c r="T68" s="71">
        <v>-243.0528076539689</v>
      </c>
      <c r="U68" s="71">
        <v>-240.85940430752828</v>
      </c>
      <c r="V68" s="71">
        <v>-238.10054345172648</v>
      </c>
      <c r="W68" s="71">
        <v>-234.77622508656356</v>
      </c>
      <c r="X68" s="71">
        <v>-230.88644921203945</v>
      </c>
      <c r="Y68" s="71">
        <v>-226.43121582815428</v>
      </c>
      <c r="Z68" s="71">
        <v>-221.41052493490798</v>
      </c>
      <c r="AA68" s="71">
        <v>-215.82437653230051</v>
      </c>
      <c r="AB68" s="71">
        <v>-209.6727706203319</v>
      </c>
      <c r="AC68" s="71">
        <v>-202.95570719900212</v>
      </c>
      <c r="AD68" s="71">
        <v>-195.67318626831127</v>
      </c>
      <c r="AE68" s="71">
        <v>-187.82520782825924</v>
      </c>
      <c r="AF68" s="71">
        <v>-179.41177187884608</v>
      </c>
      <c r="AG68" s="71">
        <v>-170.4328784200718</v>
      </c>
      <c r="AH68" s="71">
        <v>-160.8885274519364</v>
      </c>
      <c r="AI68" s="71">
        <v>-150.77871897443981</v>
      </c>
      <c r="AJ68" s="71">
        <v>-140.1034529875821</v>
      </c>
      <c r="AK68" s="71">
        <v>-128.86272949136327</v>
      </c>
      <c r="AL68" s="71">
        <v>-117.05654848578335</v>
      </c>
      <c r="AM68" s="71">
        <v>-104.68490997084221</v>
      </c>
      <c r="AN68" s="71">
        <v>-91.747813946539978</v>
      </c>
      <c r="AO68" s="71">
        <v>-78.245260412876647</v>
      </c>
      <c r="AP68" s="71">
        <v>-64.177249369852163</v>
      </c>
      <c r="AQ68" s="71">
        <v>-49.54378081746647</v>
      </c>
      <c r="AR68" s="71">
        <v>-34.344854755719709</v>
      </c>
      <c r="AS68" s="71">
        <v>-18.480254313760305</v>
      </c>
      <c r="AT68" s="71">
        <v>-1.6967584484886302</v>
      </c>
      <c r="AU68" s="71">
        <v>16.017972622763331</v>
      </c>
      <c r="AV68" s="71">
        <v>34.663938899995642</v>
      </c>
      <c r="AW68" s="71">
        <v>54.241140383208382</v>
      </c>
      <c r="AX68" s="71">
        <v>74.749577072401394</v>
      </c>
      <c r="AY68" s="71">
        <v>96.189248967574756</v>
      </c>
      <c r="AZ68" s="71">
        <v>118.56015606872856</v>
      </c>
      <c r="BA68" s="71">
        <v>141.86229837586262</v>
      </c>
      <c r="BB68" s="71">
        <v>166.09567588897704</v>
      </c>
      <c r="BC68" s="71">
        <v>191.26028860807179</v>
      </c>
      <c r="BD68" s="71">
        <v>217.35613653314689</v>
      </c>
      <c r="BE68" s="71">
        <v>244.38321966420261</v>
      </c>
      <c r="BF68" s="71">
        <v>272.34153800123846</v>
      </c>
      <c r="BG68" s="71">
        <v>301.23109154425458</v>
      </c>
      <c r="BH68" s="71">
        <v>331.05188029325114</v>
      </c>
      <c r="BI68" s="71">
        <v>361.80390424822804</v>
      </c>
      <c r="BJ68" s="71">
        <v>393.4871634091852</v>
      </c>
      <c r="BK68" s="71">
        <v>426.10165777612315</v>
      </c>
      <c r="BL68" s="71">
        <v>459.64738734904103</v>
      </c>
      <c r="BM68" s="71">
        <v>494.12435212793929</v>
      </c>
      <c r="BN68" s="71">
        <v>529.53255211281794</v>
      </c>
      <c r="BO68" s="71">
        <v>565.87198730367686</v>
      </c>
      <c r="BP68" s="71">
        <v>603.14265770051622</v>
      </c>
      <c r="BQ68" s="71">
        <v>641.3445633033358</v>
      </c>
      <c r="BR68" s="71">
        <v>680.47770411213628</v>
      </c>
      <c r="BS68" s="71">
        <v>720.54208012691652</v>
      </c>
      <c r="BT68" s="71">
        <v>761.53769134767731</v>
      </c>
      <c r="BU68" s="71">
        <v>803.46453777441843</v>
      </c>
      <c r="BV68" s="71">
        <v>846.32261940714</v>
      </c>
      <c r="BW68" s="71">
        <v>890.11193624584166</v>
      </c>
      <c r="BX68" s="71">
        <v>934.83248829052422</v>
      </c>
      <c r="BY68" s="71">
        <v>980.48427554118678</v>
      </c>
      <c r="BZ68" s="71">
        <v>1027.0672979978294</v>
      </c>
      <c r="CA68" s="71">
        <v>1074.5815556604525</v>
      </c>
      <c r="CB68" s="71">
        <v>1123.0270485290562</v>
      </c>
      <c r="CC68" s="71">
        <v>1172.4037766036402</v>
      </c>
      <c r="CD68" s="71">
        <v>1222.7117398842045</v>
      </c>
      <c r="CE68" s="71">
        <v>1273.9509383707493</v>
      </c>
      <c r="CF68" s="71">
        <v>1326.1213720632745</v>
      </c>
      <c r="CG68" s="71">
        <v>1379.2230409617796</v>
      </c>
      <c r="CH68" s="71">
        <v>1433.2559450662652</v>
      </c>
      <c r="CI68" s="71">
        <v>1488.2200843767312</v>
      </c>
      <c r="CJ68" s="71">
        <v>1544.1154588931777</v>
      </c>
      <c r="CK68" s="71">
        <v>1600.9420686156047</v>
      </c>
      <c r="CL68" s="71">
        <v>1658.6999135440119</v>
      </c>
      <c r="CM68" s="71">
        <v>1717.3889936783994</v>
      </c>
      <c r="CN68" s="71">
        <v>1777.0093090187672</v>
      </c>
      <c r="CO68" s="71">
        <v>1837.5608595651154</v>
      </c>
      <c r="CP68" s="71">
        <v>1899.0436453174439</v>
      </c>
      <c r="CQ68" s="71">
        <v>1961.4576662757527</v>
      </c>
      <c r="CR68" s="71">
        <v>2024.8029224400416</v>
      </c>
      <c r="CS68" s="71">
        <v>2089.0794138103111</v>
      </c>
      <c r="CT68" s="71">
        <v>2154.2871403865611</v>
      </c>
      <c r="CU68" s="71">
        <v>2220.4261021687921</v>
      </c>
      <c r="CV68" s="71">
        <v>2287.4962991570028</v>
      </c>
      <c r="CW68" s="71">
        <v>2355.4977313511936</v>
      </c>
      <c r="CX68" s="71">
        <v>2424.4303987513649</v>
      </c>
      <c r="CY68" s="71">
        <v>2494.2943013575168</v>
      </c>
      <c r="CZ68" s="71">
        <v>2565.0894391696484</v>
      </c>
      <c r="DA68" s="71">
        <v>2636.8158121877609</v>
      </c>
      <c r="DB68" s="71">
        <v>2709.4734204118536</v>
      </c>
      <c r="DC68" s="71">
        <v>2783.0622638419263</v>
      </c>
      <c r="DD68" s="71">
        <v>2857.5823424779801</v>
      </c>
      <c r="DE68" s="71">
        <v>2933.0336563200135</v>
      </c>
      <c r="DF68" s="71">
        <v>3009.4162053680275</v>
      </c>
      <c r="DG68" s="71">
        <v>3086.7299896220234</v>
      </c>
      <c r="DH68" s="71">
        <v>3164.9750090819985</v>
      </c>
      <c r="DI68" s="71">
        <v>3244.1512637479536</v>
      </c>
      <c r="DJ68" s="71">
        <v>3324.2587536198889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G.2.1</v>
      </c>
      <c r="B82" s="12" t="s">
        <v>57</v>
      </c>
      <c r="C82" s="12"/>
      <c r="D82" s="12"/>
      <c r="E82" s="12"/>
      <c r="F82" s="12"/>
      <c r="G82" s="12"/>
      <c r="H82" s="12"/>
      <c r="I82" s="12"/>
      <c r="J82" s="77" t="s">
        <v>58</v>
      </c>
      <c r="K82" s="78" t="s">
        <v>59</v>
      </c>
      <c r="L82" s="3"/>
    </row>
    <row r="83" spans="1:14" ht="20.100000000000001" customHeight="1" outlineLevel="1">
      <c r="A83" s="9" t="s">
        <v>4</v>
      </c>
      <c r="B83" s="11" t="s">
        <v>318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3</v>
      </c>
      <c r="B84" s="8" t="s">
        <v>60</v>
      </c>
      <c r="C84" s="8"/>
      <c r="D84" s="8"/>
      <c r="E84" s="8"/>
      <c r="F84" s="8"/>
      <c r="G84" s="8"/>
      <c r="H84" s="8"/>
      <c r="I84" s="7"/>
      <c r="J84" s="79">
        <v>1595.2164466564784</v>
      </c>
      <c r="K84" s="79">
        <v>3738.8</v>
      </c>
      <c r="L84" s="3"/>
    </row>
    <row r="85" spans="1:14" ht="20.100000000000001" customHeight="1" outlineLevel="1">
      <c r="A85" s="9" t="s">
        <v>2</v>
      </c>
      <c r="B85" s="8" t="s">
        <v>61</v>
      </c>
      <c r="C85" s="8"/>
      <c r="D85" s="8"/>
      <c r="E85" s="8"/>
      <c r="F85" s="8"/>
      <c r="G85" s="8"/>
      <c r="H85" s="8"/>
      <c r="I85" s="7"/>
      <c r="J85" s="79">
        <v>121.69361082482786</v>
      </c>
      <c r="K85" s="79">
        <v>2917.8339779580006</v>
      </c>
      <c r="L85" s="3"/>
    </row>
    <row r="86" spans="1:14" ht="20.100000000000001" customHeight="1" outlineLevel="1">
      <c r="A86" s="9" t="s">
        <v>6</v>
      </c>
      <c r="B86" s="8" t="s">
        <v>63</v>
      </c>
      <c r="C86" s="8"/>
      <c r="D86" s="8"/>
      <c r="E86" s="8"/>
      <c r="F86" s="8"/>
      <c r="G86" s="8"/>
      <c r="H86" s="8"/>
      <c r="I86" s="7"/>
      <c r="J86" s="79">
        <v>-835.96321997122266</v>
      </c>
      <c r="K86" s="79">
        <v>2834.779262526954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G.2.2</v>
      </c>
      <c r="B88" s="12" t="s">
        <v>62</v>
      </c>
      <c r="C88" s="12"/>
      <c r="D88" s="12"/>
      <c r="E88" s="12"/>
      <c r="F88" s="12"/>
      <c r="G88" s="12"/>
      <c r="H88" s="12"/>
      <c r="I88" s="78" t="s">
        <v>93</v>
      </c>
      <c r="J88" s="77" t="s">
        <v>66</v>
      </c>
      <c r="K88" s="78" t="s">
        <v>67</v>
      </c>
      <c r="L88" s="3"/>
    </row>
    <row r="89" spans="1:14" ht="20.100000000000001" customHeight="1" outlineLevel="1">
      <c r="A89" s="9" t="s">
        <v>4</v>
      </c>
      <c r="B89" s="11" t="s">
        <v>320</v>
      </c>
      <c r="C89" s="11"/>
      <c r="D89" s="11"/>
      <c r="E89" s="11"/>
      <c r="F89" s="11"/>
      <c r="G89" s="11"/>
      <c r="H89" s="11"/>
      <c r="I89" s="80">
        <v>2893680.0233940114</v>
      </c>
      <c r="J89" s="80">
        <v>0.1711204935987187</v>
      </c>
      <c r="K89" s="80">
        <v>2.2483682291026227E-7</v>
      </c>
      <c r="L89" s="3"/>
    </row>
    <row r="90" spans="1:14" ht="20.100000000000001" customHeight="1" outlineLevel="1">
      <c r="A90" s="9" t="s">
        <v>3</v>
      </c>
      <c r="B90" s="8" t="s">
        <v>64</v>
      </c>
      <c r="C90" s="8"/>
      <c r="D90" s="8"/>
      <c r="E90" s="8"/>
      <c r="F90" s="8"/>
      <c r="G90" s="8"/>
      <c r="H90" s="8"/>
      <c r="I90" s="80">
        <v>2891496.0011357404</v>
      </c>
      <c r="J90" s="80">
        <v>0.13569194733409173</v>
      </c>
      <c r="K90" s="80">
        <v>8.1159041505894725E-8</v>
      </c>
      <c r="L90" s="3"/>
    </row>
    <row r="91" spans="1:14" ht="20.100000000000001" customHeight="1" outlineLevel="1">
      <c r="A91" s="9" t="s">
        <v>2</v>
      </c>
      <c r="B91" s="8" t="s">
        <v>65</v>
      </c>
      <c r="C91" s="8"/>
      <c r="D91" s="8"/>
      <c r="E91" s="8"/>
      <c r="F91" s="8"/>
      <c r="G91" s="8"/>
      <c r="H91" s="8"/>
      <c r="I91" s="80">
        <v>2834779.2625269541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G.3</v>
      </c>
      <c r="B94" s="14" t="s">
        <v>68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G.3.1</v>
      </c>
      <c r="B112" s="12" t="s">
        <v>57</v>
      </c>
      <c r="C112" s="12"/>
      <c r="D112" s="12"/>
      <c r="E112" s="12"/>
      <c r="F112" s="12"/>
      <c r="G112" s="12"/>
      <c r="H112" s="12"/>
      <c r="I112" s="12"/>
      <c r="J112" s="77" t="s">
        <v>58</v>
      </c>
      <c r="K112" s="78" t="s">
        <v>69</v>
      </c>
      <c r="L112" s="3"/>
    </row>
    <row r="113" spans="1:21" ht="20.100000000000001" customHeight="1" outlineLevel="1">
      <c r="A113" s="9" t="s">
        <v>4</v>
      </c>
      <c r="B113" s="11" t="s">
        <v>318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-30.304376317014274</v>
      </c>
      <c r="L113" s="3"/>
    </row>
    <row r="114" spans="1:21" ht="20.100000000000001" customHeight="1" outlineLevel="1">
      <c r="A114" s="9" t="s">
        <v>3</v>
      </c>
      <c r="B114" s="8" t="s">
        <v>60</v>
      </c>
      <c r="C114" s="8"/>
      <c r="D114" s="8"/>
      <c r="E114" s="8"/>
      <c r="F114" s="8"/>
      <c r="G114" s="8"/>
      <c r="H114" s="8"/>
      <c r="I114" s="7"/>
      <c r="J114" s="79">
        <f>point2.Z</f>
        <v>1595.2164466564784</v>
      </c>
      <c r="K114" s="79">
        <v>3079.4792045249424</v>
      </c>
      <c r="L114" s="3"/>
    </row>
    <row r="115" spans="1:21" ht="20.100000000000001" customHeight="1" outlineLevel="1">
      <c r="A115" s="9" t="s">
        <v>2</v>
      </c>
      <c r="B115" s="8" t="s">
        <v>61</v>
      </c>
      <c r="C115" s="8"/>
      <c r="D115" s="8"/>
      <c r="E115" s="8"/>
      <c r="F115" s="8"/>
      <c r="G115" s="8"/>
      <c r="H115" s="8"/>
      <c r="I115" s="7"/>
      <c r="J115" s="79">
        <f>point3.Z</f>
        <v>121.69361082482786</v>
      </c>
      <c r="K115" s="79">
        <v>160.21289755007717</v>
      </c>
      <c r="L115" s="3"/>
    </row>
    <row r="116" spans="1:21" ht="20.100000000000001" customHeight="1" outlineLevel="1">
      <c r="A116" s="9" t="s">
        <v>6</v>
      </c>
      <c r="B116" s="8" t="s">
        <v>63</v>
      </c>
      <c r="C116" s="8"/>
      <c r="D116" s="8"/>
      <c r="E116" s="8"/>
      <c r="F116" s="8"/>
      <c r="G116" s="8"/>
      <c r="H116" s="8"/>
      <c r="I116" s="7"/>
      <c r="J116" s="79">
        <f>point4.Z</f>
        <v>-835.96321997122266</v>
      </c>
      <c r="K116" s="79">
        <v>-246.28088167824194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G.3.2</v>
      </c>
      <c r="B118" s="12" t="s">
        <v>62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66</v>
      </c>
      <c r="K118" s="78" t="s">
        <v>67</v>
      </c>
      <c r="L118" s="3"/>
    </row>
    <row r="119" spans="1:21" ht="20.100000000000001" customHeight="1" outlineLevel="1">
      <c r="A119" s="9" t="s">
        <v>4</v>
      </c>
      <c r="B119" s="11" t="s">
        <v>320</v>
      </c>
      <c r="C119" s="11"/>
      <c r="D119" s="11"/>
      <c r="E119" s="11"/>
      <c r="F119" s="11"/>
      <c r="G119" s="11"/>
      <c r="H119" s="11"/>
      <c r="I119" s="80">
        <v>55.06840118432067</v>
      </c>
      <c r="J119" s="80">
        <v>7.7878738362608529E-4</v>
      </c>
      <c r="K119" s="80">
        <v>7.003047501183678E-10</v>
      </c>
      <c r="L119" s="3"/>
    </row>
    <row r="120" spans="1:21" ht="20.100000000000001" customHeight="1" outlineLevel="1">
      <c r="A120" s="9" t="s">
        <v>3</v>
      </c>
      <c r="B120" s="8" t="s">
        <v>64</v>
      </c>
      <c r="C120" s="8"/>
      <c r="D120" s="8"/>
      <c r="E120" s="8"/>
      <c r="F120" s="8"/>
      <c r="G120" s="8"/>
      <c r="H120" s="8"/>
      <c r="I120" s="80">
        <v>50.88709131646182</v>
      </c>
      <c r="J120" s="80">
        <v>7.109594438973845E-4</v>
      </c>
      <c r="K120" s="80">
        <v>4.2523368666976676E-10</v>
      </c>
      <c r="L120" s="3"/>
    </row>
    <row r="121" spans="1:21" ht="20.100000000000001" customHeight="1" outlineLevel="1">
      <c r="A121" s="9" t="s">
        <v>2</v>
      </c>
      <c r="B121" s="8" t="s">
        <v>65</v>
      </c>
      <c r="C121" s="8"/>
      <c r="D121" s="8"/>
      <c r="E121" s="8"/>
      <c r="F121" s="8"/>
      <c r="G121" s="8"/>
      <c r="H121" s="8"/>
      <c r="I121" s="80">
        <v>-246.28088167824194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G.4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G.4.1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4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3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1.3643968401892375</v>
      </c>
      <c r="K128" s="93" t="s">
        <v>7</v>
      </c>
      <c r="L128" s="3"/>
      <c r="U128" s="99"/>
    </row>
    <row r="129" spans="1:21" ht="20.100000000000001" customHeight="1">
      <c r="A129" s="9" t="s">
        <v>2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0.4993626397773579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G.4.1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4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2.5046502375317257</v>
      </c>
      <c r="K132" s="5" t="s">
        <v>85</v>
      </c>
      <c r="L132" s="3"/>
      <c r="U132" s="99"/>
    </row>
    <row r="133" spans="1:21" ht="20.100000000000001" customHeight="1">
      <c r="A133" s="9" t="s">
        <v>3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51">
        <v>1238.3066227426382</v>
      </c>
      <c r="K133" s="5" t="s">
        <v>80</v>
      </c>
      <c r="L133" s="3"/>
      <c r="U133" s="99"/>
    </row>
    <row r="134" spans="1:21" ht="20.100000000000001" customHeight="1">
      <c r="A134" s="9" t="s">
        <v>2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87000.000000000029</v>
      </c>
      <c r="K134" s="5" t="s">
        <v>218</v>
      </c>
      <c r="L134" s="3"/>
      <c r="U134" s="99"/>
    </row>
    <row r="135" spans="1:21" ht="20.100000000000001" customHeight="1">
      <c r="A135" s="9" t="s">
        <v>6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52">
        <v>290000000.00000006</v>
      </c>
      <c r="K135" s="5" t="s">
        <v>288</v>
      </c>
      <c r="L135" s="3"/>
      <c r="U135" s="99"/>
    </row>
    <row r="136" spans="1:21" ht="20.100000000000001" customHeight="1">
      <c r="A136" s="9" t="s">
        <v>5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51">
        <v>20.094758307720781</v>
      </c>
      <c r="K136" s="5" t="s">
        <v>80</v>
      </c>
      <c r="L136" s="3"/>
      <c r="U136" s="99"/>
    </row>
    <row r="137" spans="1:21" ht="20.100000000000001" customHeight="1">
      <c r="A137" s="9" t="s">
        <v>30</v>
      </c>
      <c r="B137" s="8" t="s">
        <v>78</v>
      </c>
      <c r="C137" s="8"/>
      <c r="D137" s="8"/>
      <c r="E137" s="8"/>
      <c r="F137" s="8"/>
      <c r="G137" s="8"/>
      <c r="H137" s="8"/>
      <c r="I137" s="7" t="s">
        <v>79</v>
      </c>
      <c r="J137" s="62">
        <v>2768.4830383107897</v>
      </c>
      <c r="K137" s="5" t="s">
        <v>80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G.4.2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4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0.44595284973156152</v>
      </c>
      <c r="K140" s="5" t="s">
        <v>7</v>
      </c>
      <c r="L140" s="3"/>
      <c r="U140" s="99"/>
    </row>
    <row r="141" spans="1:21" ht="20.100000000000001" customHeight="1">
      <c r="A141" s="9" t="s">
        <v>3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15660.843568082577</v>
      </c>
      <c r="K141" s="5" t="s">
        <v>80</v>
      </c>
      <c r="L141" s="3"/>
      <c r="U141" s="99"/>
    </row>
    <row r="142" spans="1:21" ht="20.100000000000001" customHeight="1">
      <c r="A142" s="9" t="s">
        <v>2</v>
      </c>
      <c r="B142" s="8" t="s">
        <v>83</v>
      </c>
      <c r="C142" s="8"/>
      <c r="D142" s="8"/>
      <c r="E142" s="8"/>
      <c r="F142" s="8"/>
      <c r="G142" s="8"/>
      <c r="H142" s="8"/>
      <c r="I142" s="82" t="s">
        <v>84</v>
      </c>
      <c r="J142" s="6">
        <v>1.1767773891792821</v>
      </c>
      <c r="K142" s="5" t="s">
        <v>85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G.4.3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4</v>
      </c>
      <c r="B145" s="8" t="s">
        <v>72</v>
      </c>
      <c r="C145" s="8"/>
      <c r="D145" s="8"/>
      <c r="E145" s="8"/>
      <c r="F145" s="8"/>
      <c r="G145" s="8"/>
      <c r="H145" s="8"/>
      <c r="I145" s="7" t="s">
        <v>73</v>
      </c>
      <c r="J145" s="62">
        <v>2068.2520235998149</v>
      </c>
      <c r="K145" s="5" t="s">
        <v>8</v>
      </c>
      <c r="L145" s="3"/>
      <c r="U145" s="101"/>
    </row>
    <row r="146" spans="1:21" ht="20.100000000000001" customHeight="1">
      <c r="A146" s="9" t="s">
        <v>3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1355.5804702952589</v>
      </c>
      <c r="K146" s="5" t="s">
        <v>8</v>
      </c>
      <c r="L146" s="3"/>
      <c r="U146" s="101"/>
    </row>
    <row r="147" spans="1:21" ht="20.100000000000001" customHeight="1">
      <c r="A147" s="9" t="s">
        <v>2</v>
      </c>
      <c r="B147" s="8" t="s">
        <v>329</v>
      </c>
      <c r="C147" s="8"/>
      <c r="D147" s="8"/>
      <c r="E147" s="8"/>
      <c r="F147" s="8"/>
      <c r="G147" s="8"/>
      <c r="H147" s="8"/>
      <c r="I147" s="81" t="s">
        <v>330</v>
      </c>
      <c r="J147" s="62">
        <v>0</v>
      </c>
      <c r="K147" s="5" t="s">
        <v>8</v>
      </c>
      <c r="L147" s="3"/>
      <c r="U147" s="101"/>
    </row>
    <row r="148" spans="1:21" ht="20.100000000000001" customHeight="1">
      <c r="A148" s="9" t="s">
        <v>6</v>
      </c>
      <c r="B148" s="8" t="s">
        <v>81</v>
      </c>
      <c r="C148" s="8"/>
      <c r="D148" s="8"/>
      <c r="E148" s="8"/>
      <c r="F148" s="8"/>
      <c r="G148" s="8"/>
      <c r="H148" s="8"/>
      <c r="I148" s="81" t="s">
        <v>82</v>
      </c>
      <c r="J148" s="62">
        <v>-712.67155330455603</v>
      </c>
      <c r="K148" s="5" t="s">
        <v>8</v>
      </c>
      <c r="L148" s="3"/>
    </row>
    <row r="149" spans="1:21" ht="20.100000000000001" customHeight="1">
      <c r="A149" s="9" t="s">
        <v>5</v>
      </c>
      <c r="B149" s="8" t="s">
        <v>346</v>
      </c>
      <c r="C149" s="8"/>
      <c r="D149" s="8"/>
      <c r="E149" s="8"/>
      <c r="F149" s="8"/>
      <c r="G149" s="8"/>
      <c r="H149" s="8"/>
      <c r="I149" s="81" t="s">
        <v>347</v>
      </c>
      <c r="J149" s="62">
        <v>-712.67155330455603</v>
      </c>
      <c r="K149" s="5" t="s">
        <v>8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G.4.4</v>
      </c>
      <c r="B151" s="12" t="s">
        <v>254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4</v>
      </c>
      <c r="B152" s="8" t="s">
        <v>86</v>
      </c>
      <c r="C152" s="8"/>
      <c r="D152" s="8"/>
      <c r="E152" s="8"/>
      <c r="F152" s="8"/>
      <c r="G152" s="8"/>
      <c r="H152" s="8"/>
      <c r="I152" s="81" t="s">
        <v>87</v>
      </c>
      <c r="J152" s="67">
        <v>0.14230099316700437</v>
      </c>
      <c r="K152" s="5" t="s">
        <v>85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G.4.5</v>
      </c>
      <c r="B154" s="12" t="s">
        <v>255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233</v>
      </c>
      <c r="N154" s="78" t="s">
        <v>226</v>
      </c>
      <c r="O154" s="78">
        <v>1</v>
      </c>
      <c r="P154" s="78" t="s">
        <v>227</v>
      </c>
      <c r="Q154" s="78" t="s">
        <v>228</v>
      </c>
      <c r="R154" s="78" t="s">
        <v>229</v>
      </c>
      <c r="S154" s="78" t="s">
        <v>230</v>
      </c>
      <c r="U154" s="99"/>
    </row>
    <row r="155" spans="1:21" ht="20.100000000000001" customHeight="1">
      <c r="A155" s="9" t="s">
        <v>4</v>
      </c>
      <c r="B155" s="8" t="s">
        <v>221</v>
      </c>
      <c r="C155" s="8"/>
      <c r="D155" s="8"/>
      <c r="E155" s="8"/>
      <c r="F155" s="8"/>
      <c r="G155" s="8"/>
      <c r="H155" s="8"/>
      <c r="I155" s="7" t="s">
        <v>234</v>
      </c>
      <c r="J155" s="62">
        <v>1710.5339527007882</v>
      </c>
      <c r="K155" s="5" t="s">
        <v>222</v>
      </c>
      <c r="L155" s="3"/>
      <c r="M155" s="70" t="s">
        <v>232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224</v>
      </c>
      <c r="U155" s="99"/>
    </row>
    <row r="156" spans="1:21" ht="20.100000000000001" customHeight="1">
      <c r="A156" s="9" t="s">
        <v>3</v>
      </c>
      <c r="B156" s="8" t="s">
        <v>76</v>
      </c>
      <c r="C156" s="8"/>
      <c r="D156" s="8"/>
      <c r="E156" s="8"/>
      <c r="F156" s="8"/>
      <c r="G156" s="8"/>
      <c r="H156" s="8"/>
      <c r="I156" s="7" t="s">
        <v>236</v>
      </c>
      <c r="J156" s="62">
        <v>600.85776552878792</v>
      </c>
      <c r="K156" s="5" t="s">
        <v>77</v>
      </c>
      <c r="L156" s="3"/>
      <c r="M156" s="70" t="s">
        <v>231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223</v>
      </c>
      <c r="U156" s="99"/>
    </row>
    <row r="157" spans="1:21" ht="20.100000000000001" customHeight="1">
      <c r="A157" s="9" t="s">
        <v>2</v>
      </c>
      <c r="B157" s="8" t="s">
        <v>283</v>
      </c>
      <c r="C157" s="8"/>
      <c r="D157" s="8"/>
      <c r="E157" s="8"/>
      <c r="F157" s="8"/>
      <c r="G157" s="8"/>
      <c r="H157" s="8"/>
      <c r="I157" s="7" t="s">
        <v>219</v>
      </c>
      <c r="J157" s="62">
        <v>4344.0537979949813</v>
      </c>
      <c r="K157" s="5" t="s">
        <v>218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G.4.6</v>
      </c>
      <c r="B159" s="12" t="s">
        <v>239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4</v>
      </c>
      <c r="B160" s="11" t="s">
        <v>237</v>
      </c>
      <c r="C160" s="11"/>
      <c r="D160" s="11"/>
      <c r="E160" s="11"/>
      <c r="F160" s="11"/>
      <c r="G160" s="11"/>
      <c r="H160" s="11"/>
      <c r="I160" s="10" t="s">
        <v>238</v>
      </c>
      <c r="J160" s="92">
        <v>90</v>
      </c>
      <c r="K160" s="93" t="s">
        <v>215</v>
      </c>
      <c r="L160" s="3"/>
      <c r="U160" s="99"/>
    </row>
    <row r="161" spans="1:21" ht="20.100000000000001" customHeight="1">
      <c r="A161" s="9" t="s">
        <v>3</v>
      </c>
      <c r="B161" s="8" t="s">
        <v>70</v>
      </c>
      <c r="C161" s="8"/>
      <c r="D161" s="8"/>
      <c r="E161" s="8"/>
      <c r="F161" s="8"/>
      <c r="G161" s="8"/>
      <c r="H161" s="8"/>
      <c r="I161" s="7" t="s">
        <v>71</v>
      </c>
      <c r="J161" s="64">
        <v>225.55390100553569</v>
      </c>
      <c r="K161" s="5" t="s">
        <v>7</v>
      </c>
      <c r="L161" s="3"/>
      <c r="U161" s="100"/>
    </row>
    <row r="162" spans="1:21" ht="20.100000000000001" customHeight="1">
      <c r="A162" s="9" t="s">
        <v>2</v>
      </c>
      <c r="B162" s="8" t="s">
        <v>292</v>
      </c>
      <c r="C162" s="8"/>
      <c r="D162" s="8"/>
      <c r="E162" s="8"/>
      <c r="F162" s="8"/>
      <c r="G162" s="8"/>
      <c r="H162" s="8"/>
      <c r="I162" s="7" t="s">
        <v>291</v>
      </c>
      <c r="J162" s="64">
        <v>112.77695050276785</v>
      </c>
      <c r="K162" s="5" t="s">
        <v>7</v>
      </c>
      <c r="L162" s="3"/>
      <c r="U162" s="100"/>
    </row>
    <row r="163" spans="1:21" ht="20.100000000000001" customHeight="1">
      <c r="A163" s="9" t="s">
        <v>6</v>
      </c>
      <c r="B163" s="8" t="s">
        <v>293</v>
      </c>
      <c r="C163" s="8"/>
      <c r="D163" s="8"/>
      <c r="E163" s="8"/>
      <c r="F163" s="8"/>
      <c r="G163" s="8"/>
      <c r="H163" s="8"/>
      <c r="I163" s="7" t="s">
        <v>294</v>
      </c>
      <c r="J163" s="152">
        <v>123831110.42899768</v>
      </c>
      <c r="K163" s="5" t="s">
        <v>288</v>
      </c>
      <c r="L163" s="3"/>
      <c r="U163" s="100"/>
    </row>
    <row r="164" spans="1:21" ht="20.100000000000001" customHeight="1">
      <c r="A164" s="9" t="s">
        <v>5</v>
      </c>
      <c r="B164" s="8" t="s">
        <v>225</v>
      </c>
      <c r="C164" s="8"/>
      <c r="D164" s="8"/>
      <c r="E164" s="8"/>
      <c r="F164" s="8"/>
      <c r="G164" s="8"/>
      <c r="H164" s="8"/>
      <c r="I164" s="7" t="s">
        <v>235</v>
      </c>
      <c r="J164" s="92">
        <v>10310.000230734646</v>
      </c>
      <c r="K164" s="5" t="s">
        <v>222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30</v>
      </c>
      <c r="B165" s="17" t="s">
        <v>88</v>
      </c>
      <c r="C165" s="17"/>
      <c r="D165" s="17"/>
      <c r="E165" s="17"/>
      <c r="F165" s="17"/>
      <c r="G165" s="17"/>
      <c r="H165" s="17"/>
      <c r="I165" s="83" t="s">
        <v>89</v>
      </c>
      <c r="J165" s="84">
        <v>0.11567948034942986</v>
      </c>
      <c r="K165" s="15" t="s">
        <v>85</v>
      </c>
      <c r="L165" s="3"/>
    </row>
    <row r="166" spans="1:21" ht="20.100000000000001" customHeight="1">
      <c r="A166" s="9" t="s">
        <v>33</v>
      </c>
      <c r="B166" s="8" t="s">
        <v>90</v>
      </c>
      <c r="C166" s="8"/>
      <c r="D166" s="8"/>
      <c r="E166" s="8"/>
      <c r="F166" s="8"/>
      <c r="G166" s="8"/>
      <c r="H166" s="8"/>
      <c r="I166" s="7" t="s">
        <v>91</v>
      </c>
      <c r="J166" s="66">
        <v>0.60610390399273117</v>
      </c>
      <c r="K166" s="5" t="s">
        <v>85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21" priority="3" stopIfTrue="1" operator="between">
      <formula>0</formula>
      <formula>1</formula>
    </cfRule>
  </conditionalFormatting>
  <conditionalFormatting sqref="K94">
    <cfRule type="cellIs" dxfId="20" priority="2" stopIfTrue="1" operator="between">
      <formula>0</formula>
      <formula>1</formula>
    </cfRule>
  </conditionalFormatting>
  <conditionalFormatting sqref="K124">
    <cfRule type="cellIs" dxfId="19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E5628-E027-45B9-83BA-5E9D788819D8}">
  <sheetPr codeName="Sheet4">
    <pageSetUpPr fitToPage="1"/>
  </sheetPr>
  <dimension ref="A1:DJ180"/>
  <sheetViews>
    <sheetView showGridLines="0" zoomScaleNormal="100" workbookViewId="0">
      <pane ySplit="1" topLeftCell="A123" activePane="bottomLeft" state="frozen"/>
      <selection pane="bottomLeft" activeCell="J149" sqref="J149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19</v>
      </c>
      <c r="C1" s="56"/>
      <c r="D1" s="56"/>
      <c r="E1" s="56"/>
      <c r="F1" s="56"/>
      <c r="G1" s="56"/>
      <c r="H1" s="55"/>
      <c r="I1" s="55"/>
      <c r="J1" s="54" t="s">
        <v>18</v>
      </c>
      <c r="K1" s="53" t="s">
        <v>17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1" t="s">
        <v>16</v>
      </c>
      <c r="B3" s="162"/>
      <c r="C3" s="162"/>
      <c r="D3" s="162"/>
      <c r="E3" s="162"/>
      <c r="F3" s="162"/>
      <c r="G3" s="162"/>
      <c r="H3" s="162"/>
      <c r="I3" s="162"/>
      <c r="J3" s="162"/>
      <c r="K3" s="162"/>
    </row>
    <row r="4" spans="1:15" s="46" customFormat="1" ht="20.100000000000001" hidden="1" customHeight="1" outlineLevel="1">
      <c r="A4" s="47" t="s">
        <v>15</v>
      </c>
      <c r="B4" s="163" t="s">
        <v>14</v>
      </c>
      <c r="C4" s="163"/>
      <c r="D4" s="163"/>
      <c r="E4" s="163"/>
      <c r="F4" s="163"/>
      <c r="G4" s="163"/>
      <c r="H4" s="47" t="s">
        <v>13</v>
      </c>
      <c r="I4" s="47" t="s">
        <v>12</v>
      </c>
      <c r="J4" s="47" t="s">
        <v>11</v>
      </c>
      <c r="K4" s="47" t="s">
        <v>10</v>
      </c>
    </row>
    <row r="5" spans="1:15" s="41" customFormat="1" ht="20.100000000000001" hidden="1" customHeight="1" outlineLevel="1">
      <c r="A5" s="45"/>
      <c r="B5" s="155"/>
      <c r="C5" s="156"/>
      <c r="D5" s="156"/>
      <c r="E5" s="156"/>
      <c r="F5" s="156"/>
      <c r="G5" s="157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55"/>
      <c r="C6" s="156"/>
      <c r="D6" s="156"/>
      <c r="E6" s="156"/>
      <c r="F6" s="156"/>
      <c r="G6" s="157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55"/>
      <c r="C7" s="156"/>
      <c r="D7" s="156"/>
      <c r="E7" s="156"/>
      <c r="F7" s="156"/>
      <c r="G7" s="157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55"/>
      <c r="C8" s="156"/>
      <c r="D8" s="156"/>
      <c r="E8" s="156"/>
      <c r="F8" s="156"/>
      <c r="G8" s="157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55"/>
      <c r="C9" s="156"/>
      <c r="D9" s="156"/>
      <c r="E9" s="156"/>
      <c r="F9" s="156"/>
      <c r="G9" s="157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327</v>
      </c>
      <c r="B11" s="37" t="s">
        <v>326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58" t="s">
        <v>100</v>
      </c>
      <c r="C13" s="158"/>
      <c r="D13" s="160" t="str">
        <f>Gap30deg!D13</f>
        <v>SP2200052</v>
      </c>
      <c r="E13" s="160"/>
      <c r="F13" s="160"/>
      <c r="G13" s="160"/>
      <c r="H13" s="160"/>
      <c r="I13" s="160"/>
      <c r="J13" s="160"/>
      <c r="K13" s="160"/>
      <c r="L13" s="86"/>
    </row>
    <row r="14" spans="1:15" s="85" customFormat="1" ht="20.100000000000001" customHeight="1" outlineLevel="1">
      <c r="A14" s="87"/>
      <c r="B14" s="158" t="s">
        <v>99</v>
      </c>
      <c r="C14" s="158"/>
      <c r="D14" s="160" t="str">
        <f>Gap30deg!D14</f>
        <v>Stichting GROW</v>
      </c>
      <c r="E14" s="160"/>
      <c r="F14" s="160"/>
      <c r="G14" s="160"/>
      <c r="H14" s="160"/>
      <c r="I14" s="160"/>
      <c r="J14" s="160"/>
      <c r="K14" s="160"/>
      <c r="L14" s="86"/>
    </row>
    <row r="15" spans="1:15" s="85" customFormat="1" ht="20.100000000000001" customHeight="1" outlineLevel="1">
      <c r="A15" s="87"/>
      <c r="B15" s="158" t="s">
        <v>98</v>
      </c>
      <c r="C15" s="158"/>
      <c r="D15" s="160" t="str">
        <f>Gap30deg!D15</f>
        <v>Bolt and Beautiful</v>
      </c>
      <c r="E15" s="160"/>
      <c r="F15" s="160"/>
      <c r="G15" s="160"/>
      <c r="H15" s="160"/>
      <c r="I15" s="160"/>
      <c r="J15" s="160"/>
      <c r="K15" s="160"/>
      <c r="L15" s="86"/>
    </row>
    <row r="16" spans="1:15" s="85" customFormat="1" ht="20.100000000000001" customHeight="1" outlineLevel="1">
      <c r="A16" s="87"/>
      <c r="B16" s="158" t="s">
        <v>97</v>
      </c>
      <c r="C16" s="158"/>
      <c r="D16" s="160" t="str">
        <f>Title</f>
        <v>Flange Segment Analytical Model for 120° gap size and shape factor 1.2</v>
      </c>
      <c r="E16" s="160"/>
      <c r="F16" s="160"/>
      <c r="G16" s="160"/>
      <c r="H16" s="160"/>
      <c r="I16" s="160"/>
      <c r="J16" s="160"/>
      <c r="K16" s="160"/>
      <c r="L16" s="86"/>
      <c r="M16" s="88"/>
    </row>
    <row r="17" spans="1:22" s="85" customFormat="1" ht="20.100000000000001" customHeight="1" outlineLevel="1">
      <c r="A17" s="87"/>
      <c r="B17" s="158" t="s">
        <v>96</v>
      </c>
      <c r="C17" s="158"/>
      <c r="D17" s="160">
        <f>Gap30deg!D17</f>
        <v>0.1</v>
      </c>
      <c r="E17" s="160"/>
      <c r="F17" s="160"/>
      <c r="G17" s="160"/>
      <c r="H17" s="160"/>
      <c r="I17" s="160"/>
      <c r="J17" s="160"/>
      <c r="K17" s="160"/>
      <c r="L17" s="86"/>
    </row>
    <row r="18" spans="1:22" s="85" customFormat="1" ht="20.100000000000001" customHeight="1" outlineLevel="1">
      <c r="A18" s="87"/>
      <c r="B18" s="158" t="s">
        <v>95</v>
      </c>
      <c r="C18" s="158"/>
      <c r="D18" s="159">
        <f>Gap30deg!D18</f>
        <v>45432</v>
      </c>
      <c r="E18" s="159"/>
      <c r="F18" s="159"/>
      <c r="G18" s="159"/>
      <c r="H18" s="159"/>
      <c r="I18" s="159"/>
      <c r="J18" s="159"/>
      <c r="K18" s="159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H.1</v>
      </c>
      <c r="B21" s="14" t="s">
        <v>20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9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5"/>
      <c r="C28" s="166"/>
      <c r="D28" s="166"/>
      <c r="E28" s="166"/>
      <c r="F28" s="166"/>
      <c r="G28" s="166"/>
      <c r="H28" s="166"/>
      <c r="I28" s="166"/>
      <c r="J28" s="166"/>
      <c r="K28" s="167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H.1.1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4</v>
      </c>
      <c r="B36" s="11" t="s">
        <v>21</v>
      </c>
      <c r="C36" s="11"/>
      <c r="D36" s="11"/>
      <c r="E36" s="11"/>
      <c r="F36" s="11"/>
      <c r="G36" s="11"/>
      <c r="H36" s="11"/>
      <c r="I36" s="10" t="s">
        <v>22</v>
      </c>
      <c r="J36" s="92">
        <v>232.5</v>
      </c>
      <c r="K36" s="93" t="s">
        <v>7</v>
      </c>
      <c r="L36" s="3"/>
    </row>
    <row r="37" spans="1:22" ht="20.100000000000001" customHeight="1" outlineLevel="1">
      <c r="A37" s="9" t="s">
        <v>3</v>
      </c>
      <c r="B37" s="8" t="s">
        <v>23</v>
      </c>
      <c r="C37" s="8"/>
      <c r="D37" s="8"/>
      <c r="E37" s="8"/>
      <c r="F37" s="8"/>
      <c r="G37" s="8"/>
      <c r="H37" s="8"/>
      <c r="I37" s="7" t="s">
        <v>24</v>
      </c>
      <c r="J37" s="62">
        <v>166.5</v>
      </c>
      <c r="K37" s="5" t="s">
        <v>7</v>
      </c>
      <c r="L37" s="3"/>
    </row>
    <row r="38" spans="1:22" ht="20.100000000000001" customHeight="1" outlineLevel="1">
      <c r="A38" s="9" t="s">
        <v>3</v>
      </c>
      <c r="B38" s="8" t="s">
        <v>25</v>
      </c>
      <c r="C38" s="8"/>
      <c r="D38" s="8"/>
      <c r="E38" s="8"/>
      <c r="F38" s="8"/>
      <c r="G38" s="8"/>
      <c r="H38" s="8"/>
      <c r="I38" s="7" t="s">
        <v>26</v>
      </c>
      <c r="J38" s="62">
        <v>72</v>
      </c>
      <c r="K38" s="5" t="s">
        <v>7</v>
      </c>
      <c r="L38" s="3"/>
    </row>
    <row r="39" spans="1:22" ht="20.100000000000001" customHeight="1" outlineLevel="1">
      <c r="A39" s="9" t="s">
        <v>2</v>
      </c>
      <c r="B39" s="8" t="s">
        <v>27</v>
      </c>
      <c r="C39" s="8"/>
      <c r="D39" s="8"/>
      <c r="E39" s="8"/>
      <c r="F39" s="8"/>
      <c r="G39" s="8"/>
      <c r="H39" s="8"/>
      <c r="I39" s="7" t="s">
        <v>28</v>
      </c>
      <c r="J39" s="62">
        <v>200</v>
      </c>
      <c r="K39" s="5" t="s">
        <v>7</v>
      </c>
      <c r="L39" s="3"/>
    </row>
    <row r="40" spans="1:22" ht="20.100000000000001" customHeight="1" outlineLevel="1">
      <c r="A40" s="9" t="s">
        <v>6</v>
      </c>
      <c r="B40" s="8" t="s">
        <v>295</v>
      </c>
      <c r="C40" s="8"/>
      <c r="D40" s="8"/>
      <c r="E40" s="8"/>
      <c r="F40" s="8"/>
      <c r="G40" s="8"/>
      <c r="H40" s="8"/>
      <c r="I40" s="7" t="s">
        <v>296</v>
      </c>
      <c r="J40" s="62">
        <v>3</v>
      </c>
      <c r="K40" s="5" t="s">
        <v>215</v>
      </c>
      <c r="L40" s="3"/>
    </row>
    <row r="41" spans="1:22" ht="20.100000000000001" customHeight="1" outlineLevel="1">
      <c r="A41" s="9" t="s">
        <v>5</v>
      </c>
      <c r="B41" s="8" t="s">
        <v>290</v>
      </c>
      <c r="C41" s="8"/>
      <c r="D41" s="8"/>
      <c r="E41" s="8"/>
      <c r="F41" s="8"/>
      <c r="G41" s="8"/>
      <c r="H41" s="8"/>
      <c r="I41" s="7" t="s">
        <v>29</v>
      </c>
      <c r="J41" s="62">
        <v>3750</v>
      </c>
      <c r="K41" s="5" t="s">
        <v>7</v>
      </c>
      <c r="L41" s="3"/>
    </row>
    <row r="42" spans="1:22" ht="20.100000000000001" customHeight="1" outlineLevel="1">
      <c r="A42" s="9" t="s">
        <v>30</v>
      </c>
      <c r="B42" s="17" t="s">
        <v>319</v>
      </c>
      <c r="C42" s="17"/>
      <c r="D42" s="17"/>
      <c r="E42" s="17"/>
      <c r="F42" s="17"/>
      <c r="G42" s="17"/>
      <c r="H42" s="17"/>
      <c r="I42" s="16" t="s">
        <v>31</v>
      </c>
      <c r="J42" s="64">
        <v>-123.29166666666667</v>
      </c>
      <c r="K42" s="15" t="s">
        <v>8</v>
      </c>
      <c r="L42" s="3"/>
    </row>
    <row r="43" spans="1:22" ht="20.100000000000001" customHeight="1" outlineLevel="1">
      <c r="A43" s="9" t="s">
        <v>33</v>
      </c>
      <c r="B43" s="17" t="s">
        <v>50</v>
      </c>
      <c r="C43" s="17"/>
      <c r="D43" s="17"/>
      <c r="E43" s="17"/>
      <c r="F43" s="17"/>
      <c r="G43" s="17"/>
      <c r="H43" s="17"/>
      <c r="I43" s="16" t="s">
        <v>52</v>
      </c>
      <c r="J43" s="64">
        <v>210</v>
      </c>
      <c r="K43" s="15" t="s">
        <v>54</v>
      </c>
      <c r="L43" s="3"/>
    </row>
    <row r="44" spans="1:22" ht="20.100000000000001" customHeight="1" outlineLevel="1">
      <c r="A44" s="9" t="s">
        <v>34</v>
      </c>
      <c r="B44" s="8" t="s">
        <v>51</v>
      </c>
      <c r="C44" s="8"/>
      <c r="D44" s="8"/>
      <c r="E44" s="8"/>
      <c r="F44" s="8"/>
      <c r="G44" s="8"/>
      <c r="H44" s="8"/>
      <c r="I44" s="7" t="s">
        <v>53</v>
      </c>
      <c r="J44" s="62">
        <v>80.77</v>
      </c>
      <c r="K44" s="5" t="s">
        <v>54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H.1.2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4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40</v>
      </c>
      <c r="K47" s="5"/>
      <c r="L47" s="3"/>
    </row>
    <row r="48" spans="1:22" ht="20.100000000000001" customHeight="1" outlineLevel="1">
      <c r="A48" s="9" t="s">
        <v>3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7</v>
      </c>
      <c r="L48" s="3"/>
    </row>
    <row r="49" spans="1:12" ht="20.100000000000001" customHeight="1" outlineLevel="1">
      <c r="A49" s="9" t="s">
        <v>2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7</v>
      </c>
      <c r="L49" s="3"/>
    </row>
    <row r="50" spans="1:12" ht="20.100000000000001" customHeight="1" outlineLevel="1">
      <c r="A50" s="9" t="s">
        <v>6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7</v>
      </c>
      <c r="L50" s="3"/>
    </row>
    <row r="51" spans="1:12" ht="20.100000000000001" customHeight="1" outlineLevel="1">
      <c r="A51" s="9" t="s">
        <v>5</v>
      </c>
      <c r="B51" s="8" t="s">
        <v>37</v>
      </c>
      <c r="C51" s="8"/>
      <c r="D51" s="8"/>
      <c r="E51" s="8"/>
      <c r="F51" s="8"/>
      <c r="G51" s="8"/>
      <c r="H51" s="8"/>
      <c r="I51" s="7" t="s">
        <v>39</v>
      </c>
      <c r="J51" s="61">
        <v>6</v>
      </c>
      <c r="K51" s="5" t="s">
        <v>7</v>
      </c>
      <c r="L51" s="3"/>
    </row>
    <row r="52" spans="1:12" ht="20.100000000000001" customHeight="1" outlineLevel="1">
      <c r="A52" s="9" t="s">
        <v>30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33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34</v>
      </c>
      <c r="B54" s="17" t="s">
        <v>117</v>
      </c>
      <c r="C54" s="17"/>
      <c r="D54" s="17"/>
      <c r="E54" s="17"/>
      <c r="F54" s="17"/>
      <c r="G54" s="17"/>
      <c r="H54" s="17"/>
      <c r="I54" s="16" t="s">
        <v>52</v>
      </c>
      <c r="J54" s="65">
        <v>210</v>
      </c>
      <c r="K54" s="15" t="s">
        <v>54</v>
      </c>
      <c r="L54" s="3"/>
    </row>
    <row r="55" spans="1:12" ht="20.100000000000001" customHeight="1" outlineLevel="1">
      <c r="A55" s="9" t="s">
        <v>35</v>
      </c>
      <c r="B55" s="17" t="s">
        <v>32</v>
      </c>
      <c r="C55" s="17"/>
      <c r="D55" s="17"/>
      <c r="E55" s="17"/>
      <c r="F55" s="17"/>
      <c r="G55" s="17"/>
      <c r="H55" s="17"/>
      <c r="I55" s="16" t="s">
        <v>36</v>
      </c>
      <c r="J55" s="65">
        <v>2876</v>
      </c>
      <c r="K55" s="15" t="s">
        <v>8</v>
      </c>
      <c r="L55" s="3"/>
    </row>
    <row r="56" spans="1:12" ht="20.100000000000001" customHeight="1" outlineLevel="1">
      <c r="A56" s="9" t="s">
        <v>38</v>
      </c>
      <c r="B56" s="8" t="s">
        <v>41</v>
      </c>
      <c r="C56" s="8"/>
      <c r="D56" s="8"/>
      <c r="E56" s="8"/>
      <c r="F56" s="8"/>
      <c r="G56" s="8"/>
      <c r="H56" s="8"/>
      <c r="I56" s="7" t="s">
        <v>47</v>
      </c>
      <c r="J56" s="62">
        <v>86</v>
      </c>
      <c r="K56" s="5" t="s">
        <v>7</v>
      </c>
      <c r="L56" s="3"/>
    </row>
    <row r="57" spans="1:12" ht="20.100000000000001" customHeight="1" outlineLevel="1">
      <c r="A57" s="9" t="s">
        <v>49</v>
      </c>
      <c r="B57" s="8" t="s">
        <v>42</v>
      </c>
      <c r="C57" s="8"/>
      <c r="D57" s="8"/>
      <c r="E57" s="8"/>
      <c r="F57" s="8"/>
      <c r="G57" s="8"/>
      <c r="H57" s="8"/>
      <c r="I57" s="7" t="s">
        <v>48</v>
      </c>
      <c r="J57" s="62">
        <v>140</v>
      </c>
      <c r="K57" s="5" t="s">
        <v>7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H.1.3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4</v>
      </c>
      <c r="B60" s="11" t="s">
        <v>43</v>
      </c>
      <c r="C60" s="11"/>
      <c r="D60" s="11"/>
      <c r="E60" s="11"/>
      <c r="F60" s="11"/>
      <c r="G60" s="11"/>
      <c r="H60" s="11"/>
      <c r="I60" s="10" t="s">
        <v>46</v>
      </c>
      <c r="J60" s="97">
        <v>3.9552630780086138</v>
      </c>
      <c r="K60" s="93" t="s">
        <v>7</v>
      </c>
      <c r="L60" s="3"/>
    </row>
    <row r="61" spans="1:12" ht="20.100000000000001" customHeight="1" outlineLevel="1">
      <c r="A61" s="9" t="s">
        <v>3</v>
      </c>
      <c r="B61" s="8" t="s">
        <v>44</v>
      </c>
      <c r="C61" s="8"/>
      <c r="D61" s="8"/>
      <c r="E61" s="8"/>
      <c r="F61" s="8"/>
      <c r="G61" s="8"/>
      <c r="H61" s="8"/>
      <c r="I61" s="7" t="s">
        <v>45</v>
      </c>
      <c r="J61" s="98">
        <v>7853.9816339744821</v>
      </c>
      <c r="K61" s="5" t="s">
        <v>7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H.2</v>
      </c>
      <c r="B64" s="14" t="s">
        <v>55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-844.84818711325318</v>
      </c>
      <c r="P66" s="71">
        <v>-819.96823559497227</v>
      </c>
      <c r="Q66" s="71">
        <v>-795.08828407669148</v>
      </c>
      <c r="R66" s="71">
        <v>-770.20833255841058</v>
      </c>
      <c r="S66" s="71">
        <v>-745.32838104012967</v>
      </c>
      <c r="T66" s="71">
        <v>-720.44842952184877</v>
      </c>
      <c r="U66" s="71">
        <v>-695.56847800356798</v>
      </c>
      <c r="V66" s="71">
        <v>-670.68852648528707</v>
      </c>
      <c r="W66" s="71">
        <v>-645.80857496700617</v>
      </c>
      <c r="X66" s="71">
        <v>-620.92862344872538</v>
      </c>
      <c r="Y66" s="71">
        <v>-596.04867193044458</v>
      </c>
      <c r="Z66" s="71">
        <v>-571.16872041216368</v>
      </c>
      <c r="AA66" s="71">
        <v>-546.28876889388289</v>
      </c>
      <c r="AB66" s="71">
        <v>-521.40881737560187</v>
      </c>
      <c r="AC66" s="71">
        <v>-496.52886585732108</v>
      </c>
      <c r="AD66" s="71">
        <v>-471.64891433904018</v>
      </c>
      <c r="AE66" s="71">
        <v>-446.76896282075933</v>
      </c>
      <c r="AF66" s="71">
        <v>-421.88901130247848</v>
      </c>
      <c r="AG66" s="71">
        <v>-397.00905978419758</v>
      </c>
      <c r="AH66" s="71">
        <v>-372.12910826591678</v>
      </c>
      <c r="AI66" s="71">
        <v>-347.24915674763588</v>
      </c>
      <c r="AJ66" s="71">
        <v>-322.36920522935503</v>
      </c>
      <c r="AK66" s="71">
        <v>-297.48925371107413</v>
      </c>
      <c r="AL66" s="71">
        <v>-272.60930219279322</v>
      </c>
      <c r="AM66" s="71">
        <v>-247.72935067451246</v>
      </c>
      <c r="AN66" s="71">
        <v>-222.84939915623156</v>
      </c>
      <c r="AO66" s="71">
        <v>-197.96944763795065</v>
      </c>
      <c r="AP66" s="71">
        <v>-173.08949611966986</v>
      </c>
      <c r="AQ66" s="71">
        <v>-148.20954460138898</v>
      </c>
      <c r="AR66" s="71">
        <v>-123.32959308310808</v>
      </c>
      <c r="AS66" s="71">
        <v>-98.449641564827175</v>
      </c>
      <c r="AT66" s="71">
        <v>-73.569690046546398</v>
      </c>
      <c r="AU66" s="71">
        <v>-48.689738528265501</v>
      </c>
      <c r="AV66" s="71">
        <v>-23.809787009984603</v>
      </c>
      <c r="AW66" s="71">
        <v>1.0701645082961768</v>
      </c>
      <c r="AX66" s="71">
        <v>25.950116026577074</v>
      </c>
      <c r="AY66" s="71">
        <v>50.830067544857968</v>
      </c>
      <c r="AZ66" s="71">
        <v>75.710019063138873</v>
      </c>
      <c r="BA66" s="71">
        <v>100.58997058141965</v>
      </c>
      <c r="BB66" s="71">
        <v>125.46992209970054</v>
      </c>
      <c r="BC66" s="71">
        <v>150.34987361798144</v>
      </c>
      <c r="BD66" s="71">
        <v>175.22982513626224</v>
      </c>
      <c r="BE66" s="71">
        <v>200.10977665454311</v>
      </c>
      <c r="BF66" s="71">
        <v>224.98972817282402</v>
      </c>
      <c r="BG66" s="71">
        <v>249.86967969110492</v>
      </c>
      <c r="BH66" s="71">
        <v>274.74963120938583</v>
      </c>
      <c r="BI66" s="71">
        <v>299.62958272766673</v>
      </c>
      <c r="BJ66" s="71">
        <v>324.50953424594735</v>
      </c>
      <c r="BK66" s="71">
        <v>349.38948576422825</v>
      </c>
      <c r="BL66" s="71">
        <v>374.26943728250916</v>
      </c>
      <c r="BM66" s="71">
        <v>399.14938880079006</v>
      </c>
      <c r="BN66" s="71">
        <v>424.02934031907097</v>
      </c>
      <c r="BO66" s="71">
        <v>448.90929183735187</v>
      </c>
      <c r="BP66" s="71">
        <v>473.78924335563278</v>
      </c>
      <c r="BQ66" s="71">
        <v>498.6691948739134</v>
      </c>
      <c r="BR66" s="71">
        <v>523.5491463921943</v>
      </c>
      <c r="BS66" s="71">
        <v>548.42909791047521</v>
      </c>
      <c r="BT66" s="71">
        <v>573.30904942875611</v>
      </c>
      <c r="BU66" s="71">
        <v>598.18900094703702</v>
      </c>
      <c r="BV66" s="71">
        <v>623.06895246531792</v>
      </c>
      <c r="BW66" s="71">
        <v>647.94890398359883</v>
      </c>
      <c r="BX66" s="71">
        <v>672.8288555018795</v>
      </c>
      <c r="BY66" s="71">
        <v>697.70880702016041</v>
      </c>
      <c r="BZ66" s="71">
        <v>722.58875853844131</v>
      </c>
      <c r="CA66" s="71">
        <v>747.46871005672222</v>
      </c>
      <c r="CB66" s="71">
        <v>772.34866157500301</v>
      </c>
      <c r="CC66" s="71">
        <v>797.22861309328391</v>
      </c>
      <c r="CD66" s="71">
        <v>822.10856461156482</v>
      </c>
      <c r="CE66" s="71">
        <v>846.98851612984549</v>
      </c>
      <c r="CF66" s="71">
        <v>871.8684676481264</v>
      </c>
      <c r="CG66" s="71">
        <v>896.7484191664073</v>
      </c>
      <c r="CH66" s="71">
        <v>921.62837068468821</v>
      </c>
      <c r="CI66" s="71">
        <v>946.50832220296911</v>
      </c>
      <c r="CJ66" s="71">
        <v>971.38827372125002</v>
      </c>
      <c r="CK66" s="71">
        <v>996.26822523953092</v>
      </c>
      <c r="CL66" s="71">
        <v>1021.1481767578116</v>
      </c>
      <c r="CM66" s="71">
        <v>1046.0281282760925</v>
      </c>
      <c r="CN66" s="71">
        <v>1070.9080797943734</v>
      </c>
      <c r="CO66" s="71">
        <v>1095.7880313126543</v>
      </c>
      <c r="CP66" s="71">
        <v>1120.6679828309352</v>
      </c>
      <c r="CQ66" s="71">
        <v>1145.5479343492161</v>
      </c>
      <c r="CR66" s="71">
        <v>1170.427885867497</v>
      </c>
      <c r="CS66" s="71">
        <v>1195.3078373857777</v>
      </c>
      <c r="CT66" s="71">
        <v>1220.1877889040586</v>
      </c>
      <c r="CU66" s="71">
        <v>1245.0677404223395</v>
      </c>
      <c r="CV66" s="71">
        <v>1269.9476919406204</v>
      </c>
      <c r="CW66" s="71">
        <v>1294.8276434589011</v>
      </c>
      <c r="CX66" s="71">
        <v>1319.707594977182</v>
      </c>
      <c r="CY66" s="71">
        <v>1344.5875464954629</v>
      </c>
      <c r="CZ66" s="71">
        <v>1369.4674980137438</v>
      </c>
      <c r="DA66" s="71">
        <v>1394.3474495320247</v>
      </c>
      <c r="DB66" s="71">
        <v>1419.2274010503056</v>
      </c>
      <c r="DC66" s="71">
        <v>1444.1073525685865</v>
      </c>
      <c r="DD66" s="71">
        <v>1468.987304086867</v>
      </c>
      <c r="DE66" s="71">
        <v>1493.8672556051479</v>
      </c>
      <c r="DF66" s="71">
        <v>1518.7472071234288</v>
      </c>
      <c r="DG66" s="71">
        <v>1543.6271586417097</v>
      </c>
      <c r="DH66" s="71">
        <v>1568.5071101599906</v>
      </c>
      <c r="DI66" s="71">
        <v>1593.3870616782715</v>
      </c>
      <c r="DJ66" s="71">
        <v>1618.2670131965524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2837.6042592452122</v>
      </c>
      <c r="P67" s="71">
        <v>2837.6042592452122</v>
      </c>
      <c r="Q67" s="71">
        <v>2837.6117697926179</v>
      </c>
      <c r="R67" s="71">
        <v>2837.7021896115098</v>
      </c>
      <c r="S67" s="71">
        <v>2837.8950100588081</v>
      </c>
      <c r="T67" s="71">
        <v>2838.1902311345129</v>
      </c>
      <c r="U67" s="71">
        <v>2838.5878528386247</v>
      </c>
      <c r="V67" s="71">
        <v>2839.0878751711425</v>
      </c>
      <c r="W67" s="71">
        <v>2839.6902981320668</v>
      </c>
      <c r="X67" s="71">
        <v>2840.3951217213976</v>
      </c>
      <c r="Y67" s="71">
        <v>2841.2023459391353</v>
      </c>
      <c r="Z67" s="71">
        <v>2842.111970785279</v>
      </c>
      <c r="AA67" s="71">
        <v>2843.1239962598297</v>
      </c>
      <c r="AB67" s="71">
        <v>2844.2384223627864</v>
      </c>
      <c r="AC67" s="71">
        <v>2845.4552490941496</v>
      </c>
      <c r="AD67" s="71">
        <v>2846.7744764539198</v>
      </c>
      <c r="AE67" s="71">
        <v>2848.1961044420959</v>
      </c>
      <c r="AF67" s="71">
        <v>2849.720133058679</v>
      </c>
      <c r="AG67" s="71">
        <v>2851.3465623036682</v>
      </c>
      <c r="AH67" s="71">
        <v>2853.0753921770643</v>
      </c>
      <c r="AI67" s="71">
        <v>2854.9066226788668</v>
      </c>
      <c r="AJ67" s="71">
        <v>2856.8402538090759</v>
      </c>
      <c r="AK67" s="71">
        <v>2858.876285567691</v>
      </c>
      <c r="AL67" s="71">
        <v>2861.014717954713</v>
      </c>
      <c r="AM67" s="71">
        <v>2863.2555509701415</v>
      </c>
      <c r="AN67" s="71">
        <v>2865.5987846139765</v>
      </c>
      <c r="AO67" s="71">
        <v>2868.044418886218</v>
      </c>
      <c r="AP67" s="71">
        <v>2870.5924537868659</v>
      </c>
      <c r="AQ67" s="71">
        <v>2873.2428893159199</v>
      </c>
      <c r="AR67" s="71">
        <v>2875.9957254733813</v>
      </c>
      <c r="AS67" s="71">
        <v>2878.9503142518238</v>
      </c>
      <c r="AT67" s="71">
        <v>2882.2066145996896</v>
      </c>
      <c r="AU67" s="71">
        <v>2885.7646267485507</v>
      </c>
      <c r="AV67" s="71">
        <v>2889.6243506984079</v>
      </c>
      <c r="AW67" s="71">
        <v>2893.7857864492607</v>
      </c>
      <c r="AX67" s="71">
        <v>2898.2489340011084</v>
      </c>
      <c r="AY67" s="71">
        <v>2903.0137933539531</v>
      </c>
      <c r="AZ67" s="71">
        <v>2908.0803645077926</v>
      </c>
      <c r="BA67" s="71">
        <v>2913.4486474626274</v>
      </c>
      <c r="BB67" s="71">
        <v>2919.1186422184583</v>
      </c>
      <c r="BC67" s="71">
        <v>2925.0903487752848</v>
      </c>
      <c r="BD67" s="71">
        <v>2931.3637671331076</v>
      </c>
      <c r="BE67" s="71">
        <v>2937.9388972919251</v>
      </c>
      <c r="BF67" s="71">
        <v>2944.8157392517383</v>
      </c>
      <c r="BG67" s="71">
        <v>2951.9942930125476</v>
      </c>
      <c r="BH67" s="71">
        <v>2959.4745585743526</v>
      </c>
      <c r="BI67" s="71">
        <v>2967.2565359371529</v>
      </c>
      <c r="BJ67" s="71">
        <v>2975.3402251009488</v>
      </c>
      <c r="BK67" s="71">
        <v>2983.7256260657409</v>
      </c>
      <c r="BL67" s="71">
        <v>2992.4127388315278</v>
      </c>
      <c r="BM67" s="71">
        <v>3001.4015633983108</v>
      </c>
      <c r="BN67" s="71">
        <v>3010.6920997660895</v>
      </c>
      <c r="BO67" s="71">
        <v>3020.2843479348639</v>
      </c>
      <c r="BP67" s="71">
        <v>3030.178307904634</v>
      </c>
      <c r="BQ67" s="71">
        <v>3040.3739796753998</v>
      </c>
      <c r="BR67" s="71">
        <v>3050.8713632471608</v>
      </c>
      <c r="BS67" s="71">
        <v>3061.6704586199176</v>
      </c>
      <c r="BT67" s="71">
        <v>3072.7712657936704</v>
      </c>
      <c r="BU67" s="71">
        <v>3084.1737847684185</v>
      </c>
      <c r="BV67" s="71">
        <v>3095.8780155441623</v>
      </c>
      <c r="BW67" s="71">
        <v>3107.8839581209022</v>
      </c>
      <c r="BX67" s="71">
        <v>3120.1916124986369</v>
      </c>
      <c r="BY67" s="71">
        <v>3132.8009786773678</v>
      </c>
      <c r="BZ67" s="71">
        <v>3145.7120566570939</v>
      </c>
      <c r="CA67" s="71">
        <v>3158.9248464378161</v>
      </c>
      <c r="CB67" s="71">
        <v>3172.439348019534</v>
      </c>
      <c r="CC67" s="71">
        <v>3186.2555614022472</v>
      </c>
      <c r="CD67" s="71">
        <v>3200.373486585956</v>
      </c>
      <c r="CE67" s="71">
        <v>3214.793123570661</v>
      </c>
      <c r="CF67" s="71">
        <v>3229.5144723563612</v>
      </c>
      <c r="CG67" s="71">
        <v>3244.5375329430567</v>
      </c>
      <c r="CH67" s="71">
        <v>3259.8623053307488</v>
      </c>
      <c r="CI67" s="71">
        <v>3275.4887895194361</v>
      </c>
      <c r="CJ67" s="71">
        <v>3291.4169855091191</v>
      </c>
      <c r="CK67" s="71">
        <v>3307.6468932997977</v>
      </c>
      <c r="CL67" s="71">
        <v>3324.1785128914712</v>
      </c>
      <c r="CM67" s="71">
        <v>3341.0118442841413</v>
      </c>
      <c r="CN67" s="71">
        <v>3358.1468874778066</v>
      </c>
      <c r="CO67" s="71">
        <v>3375.583642472468</v>
      </c>
      <c r="CP67" s="71">
        <v>3393.3221092681247</v>
      </c>
      <c r="CQ67" s="71">
        <v>3411.362287864777</v>
      </c>
      <c r="CR67" s="71">
        <v>3429.7041782624251</v>
      </c>
      <c r="CS67" s="71">
        <v>3448.3477804610689</v>
      </c>
      <c r="CT67" s="71">
        <v>3467.2930944607083</v>
      </c>
      <c r="CU67" s="71">
        <v>3486.5401202613434</v>
      </c>
      <c r="CV67" s="71">
        <v>3506.0888578629738</v>
      </c>
      <c r="CW67" s="71">
        <v>3525.9393072656003</v>
      </c>
      <c r="CX67" s="71">
        <v>3546.091468469222</v>
      </c>
      <c r="CY67" s="71">
        <v>3566.5453414738399</v>
      </c>
      <c r="CZ67" s="71">
        <v>3587.3009262794531</v>
      </c>
      <c r="DA67" s="71">
        <v>3608.3582228860619</v>
      </c>
      <c r="DB67" s="71">
        <v>3629.7172312936664</v>
      </c>
      <c r="DC67" s="71">
        <v>3651.3779515022661</v>
      </c>
      <c r="DD67" s="71">
        <v>3673.340383511862</v>
      </c>
      <c r="DE67" s="71">
        <v>3695.6045273224536</v>
      </c>
      <c r="DF67" s="71">
        <v>3718.1703829340404</v>
      </c>
      <c r="DG67" s="71">
        <v>3741.0379503466233</v>
      </c>
      <c r="DH67" s="71">
        <v>3764.207229560202</v>
      </c>
      <c r="DI67" s="71">
        <v>3787.6782205747763</v>
      </c>
      <c r="DJ67" s="71">
        <v>3811.4509233903455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56</v>
      </c>
      <c r="O68" s="71">
        <v>-240.35514075009525</v>
      </c>
      <c r="P68" s="71">
        <v>-240.35514075009525</v>
      </c>
      <c r="Q68" s="71">
        <v>-240.31440256635648</v>
      </c>
      <c r="R68" s="71">
        <v>-239.82395373530397</v>
      </c>
      <c r="S68" s="71">
        <v>-238.77807060769464</v>
      </c>
      <c r="T68" s="71">
        <v>-237.17675318352849</v>
      </c>
      <c r="U68" s="71">
        <v>-235.02000146280551</v>
      </c>
      <c r="V68" s="71">
        <v>-232.30781544552576</v>
      </c>
      <c r="W68" s="71">
        <v>-229.04019513168907</v>
      </c>
      <c r="X68" s="71">
        <v>-225.21714052129568</v>
      </c>
      <c r="Y68" s="71">
        <v>-220.83865161434539</v>
      </c>
      <c r="Z68" s="71">
        <v>-215.90472841083835</v>
      </c>
      <c r="AA68" s="71">
        <v>-210.41537091077447</v>
      </c>
      <c r="AB68" s="71">
        <v>-204.37057911415371</v>
      </c>
      <c r="AC68" s="71">
        <v>-197.77035302097619</v>
      </c>
      <c r="AD68" s="71">
        <v>-190.61469263124184</v>
      </c>
      <c r="AE68" s="71">
        <v>-182.9035979449506</v>
      </c>
      <c r="AF68" s="71">
        <v>-174.6370689621026</v>
      </c>
      <c r="AG68" s="71">
        <v>-165.81510568269772</v>
      </c>
      <c r="AH68" s="71">
        <v>-156.43770810673612</v>
      </c>
      <c r="AI68" s="71">
        <v>-146.50487623421765</v>
      </c>
      <c r="AJ68" s="71">
        <v>-136.01661006514234</v>
      </c>
      <c r="AK68" s="71">
        <v>-124.97290959951017</v>
      </c>
      <c r="AL68" s="71">
        <v>-113.37377483732122</v>
      </c>
      <c r="AM68" s="71">
        <v>-101.2192057785755</v>
      </c>
      <c r="AN68" s="71">
        <v>-88.509202423272896</v>
      </c>
      <c r="AO68" s="71">
        <v>-75.243764771413481</v>
      </c>
      <c r="AP68" s="71">
        <v>-61.422892822997284</v>
      </c>
      <c r="AQ68" s="71">
        <v>-47.046586578024218</v>
      </c>
      <c r="AR68" s="71">
        <v>-32.114846036494313</v>
      </c>
      <c r="AS68" s="71">
        <v>-16.4360991786344</v>
      </c>
      <c r="AT68" s="71">
        <v>0.182396356843185</v>
      </c>
      <c r="AU68" s="71">
        <v>17.740641016459435</v>
      </c>
      <c r="AV68" s="71">
        <v>36.238634800214257</v>
      </c>
      <c r="AW68" s="71">
        <v>55.676377708107573</v>
      </c>
      <c r="AX68" s="71">
        <v>76.053869740139547</v>
      </c>
      <c r="AY68" s="71">
        <v>97.371110896310114</v>
      </c>
      <c r="AZ68" s="71">
        <v>119.62810117661925</v>
      </c>
      <c r="BA68" s="71">
        <v>142.82484058106687</v>
      </c>
      <c r="BB68" s="71">
        <v>166.96132910965315</v>
      </c>
      <c r="BC68" s="71">
        <v>192.03756676237802</v>
      </c>
      <c r="BD68" s="71">
        <v>218.05355353924134</v>
      </c>
      <c r="BE68" s="71">
        <v>245.00928944024338</v>
      </c>
      <c r="BF68" s="71">
        <v>272.90477446538398</v>
      </c>
      <c r="BG68" s="71">
        <v>301.74000861466317</v>
      </c>
      <c r="BH68" s="71">
        <v>331.51499188808089</v>
      </c>
      <c r="BI68" s="71">
        <v>362.22972428563725</v>
      </c>
      <c r="BJ68" s="71">
        <v>393.88420580733185</v>
      </c>
      <c r="BK68" s="71">
        <v>426.47843645316539</v>
      </c>
      <c r="BL68" s="71">
        <v>460.01241622313745</v>
      </c>
      <c r="BM68" s="71">
        <v>494.4861451172481</v>
      </c>
      <c r="BN68" s="71">
        <v>529.89962313549734</v>
      </c>
      <c r="BO68" s="71">
        <v>566.25285027788516</v>
      </c>
      <c r="BP68" s="71">
        <v>603.54582654441151</v>
      </c>
      <c r="BQ68" s="71">
        <v>641.77855193507617</v>
      </c>
      <c r="BR68" s="71">
        <v>680.95102644987969</v>
      </c>
      <c r="BS68" s="71">
        <v>721.06325008882186</v>
      </c>
      <c r="BT68" s="71">
        <v>762.11522285190244</v>
      </c>
      <c r="BU68" s="71">
        <v>804.10694473912167</v>
      </c>
      <c r="BV68" s="71">
        <v>847.03841575047954</v>
      </c>
      <c r="BW68" s="71">
        <v>890.90963588597606</v>
      </c>
      <c r="BX68" s="71">
        <v>935.72060514561076</v>
      </c>
      <c r="BY68" s="71">
        <v>981.47132352938434</v>
      </c>
      <c r="BZ68" s="71">
        <v>1028.1617910372966</v>
      </c>
      <c r="CA68" s="71">
        <v>1075.7920076693472</v>
      </c>
      <c r="CB68" s="71">
        <v>1124.3619734255365</v>
      </c>
      <c r="CC68" s="71">
        <v>1173.8716883058644</v>
      </c>
      <c r="CD68" s="71">
        <v>1224.3211523103309</v>
      </c>
      <c r="CE68" s="71">
        <v>1275.7103654389355</v>
      </c>
      <c r="CF68" s="71">
        <v>1328.0393276916791</v>
      </c>
      <c r="CG68" s="71">
        <v>1381.3080390685614</v>
      </c>
      <c r="CH68" s="71">
        <v>1435.5164995695823</v>
      </c>
      <c r="CI68" s="71">
        <v>1490.6647091947416</v>
      </c>
      <c r="CJ68" s="71">
        <v>1546.7526679440396</v>
      </c>
      <c r="CK68" s="71">
        <v>1603.7803758174762</v>
      </c>
      <c r="CL68" s="71">
        <v>1661.7478328150505</v>
      </c>
      <c r="CM68" s="71">
        <v>1720.6550389367642</v>
      </c>
      <c r="CN68" s="71">
        <v>1780.5019941826165</v>
      </c>
      <c r="CO68" s="71">
        <v>1841.2886985526072</v>
      </c>
      <c r="CP68" s="71">
        <v>1903.0151520467366</v>
      </c>
      <c r="CQ68" s="71">
        <v>1965.6813546650046</v>
      </c>
      <c r="CR68" s="71">
        <v>2029.2873064074113</v>
      </c>
      <c r="CS68" s="71">
        <v>2093.8330072739559</v>
      </c>
      <c r="CT68" s="71">
        <v>2159.3184572646396</v>
      </c>
      <c r="CU68" s="71">
        <v>2225.7436563794618</v>
      </c>
      <c r="CV68" s="71">
        <v>2293.1086046184228</v>
      </c>
      <c r="CW68" s="71">
        <v>2361.4133019815222</v>
      </c>
      <c r="CX68" s="71">
        <v>2430.6577484687605</v>
      </c>
      <c r="CY68" s="71">
        <v>2500.8419440801372</v>
      </c>
      <c r="CZ68" s="71">
        <v>2571.9658888156523</v>
      </c>
      <c r="DA68" s="71">
        <v>2644.0295826753058</v>
      </c>
      <c r="DB68" s="71">
        <v>2717.0330256590983</v>
      </c>
      <c r="DC68" s="71">
        <v>2790.9762177670295</v>
      </c>
      <c r="DD68" s="71">
        <v>2865.8591589990974</v>
      </c>
      <c r="DE68" s="71">
        <v>2941.6818493553055</v>
      </c>
      <c r="DF68" s="71">
        <v>3018.4442888356521</v>
      </c>
      <c r="DG68" s="71">
        <v>3096.146477440137</v>
      </c>
      <c r="DH68" s="71">
        <v>3174.7884151687608</v>
      </c>
      <c r="DI68" s="71">
        <v>3254.3701020215235</v>
      </c>
      <c r="DJ68" s="71">
        <v>3334.8915379984242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H.2.1</v>
      </c>
      <c r="B82" s="12" t="s">
        <v>57</v>
      </c>
      <c r="C82" s="12"/>
      <c r="D82" s="12"/>
      <c r="E82" s="12"/>
      <c r="F82" s="12"/>
      <c r="G82" s="12"/>
      <c r="H82" s="12"/>
      <c r="I82" s="12"/>
      <c r="J82" s="77" t="s">
        <v>58</v>
      </c>
      <c r="K82" s="78" t="s">
        <v>59</v>
      </c>
      <c r="L82" s="3"/>
    </row>
    <row r="83" spans="1:14" ht="20.100000000000001" customHeight="1" outlineLevel="1">
      <c r="A83" s="9" t="s">
        <v>4</v>
      </c>
      <c r="B83" s="11" t="s">
        <v>318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3</v>
      </c>
      <c r="B84" s="8" t="s">
        <v>60</v>
      </c>
      <c r="C84" s="8"/>
      <c r="D84" s="8"/>
      <c r="E84" s="8"/>
      <c r="F84" s="8"/>
      <c r="G84" s="8"/>
      <c r="H84" s="8"/>
      <c r="I84" s="7"/>
      <c r="J84" s="79">
        <v>1541.2066792348119</v>
      </c>
      <c r="K84" s="79">
        <v>3738.8</v>
      </c>
      <c r="L84" s="3"/>
    </row>
    <row r="85" spans="1:14" ht="20.100000000000001" customHeight="1" outlineLevel="1">
      <c r="A85" s="9" t="s">
        <v>2</v>
      </c>
      <c r="B85" s="8" t="s">
        <v>61</v>
      </c>
      <c r="C85" s="8"/>
      <c r="D85" s="8"/>
      <c r="E85" s="8"/>
      <c r="F85" s="8"/>
      <c r="G85" s="8"/>
      <c r="H85" s="8"/>
      <c r="I85" s="7"/>
      <c r="J85" s="79">
        <v>114.91611609263964</v>
      </c>
      <c r="K85" s="79">
        <v>2916.6766448801113</v>
      </c>
      <c r="L85" s="3"/>
    </row>
    <row r="86" spans="1:14" ht="20.100000000000001" customHeight="1" outlineLevel="1">
      <c r="A86" s="9" t="s">
        <v>6</v>
      </c>
      <c r="B86" s="8" t="s">
        <v>63</v>
      </c>
      <c r="C86" s="8"/>
      <c r="D86" s="8"/>
      <c r="E86" s="8"/>
      <c r="F86" s="8"/>
      <c r="G86" s="8"/>
      <c r="H86" s="8"/>
      <c r="I86" s="7"/>
      <c r="J86" s="79">
        <v>-804.61732106024112</v>
      </c>
      <c r="K86" s="79">
        <v>2837.6042592452122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H.2.2</v>
      </c>
      <c r="B88" s="12" t="s">
        <v>62</v>
      </c>
      <c r="C88" s="12"/>
      <c r="D88" s="12"/>
      <c r="E88" s="12"/>
      <c r="F88" s="12"/>
      <c r="G88" s="12"/>
      <c r="H88" s="12"/>
      <c r="I88" s="78" t="s">
        <v>93</v>
      </c>
      <c r="J88" s="77" t="s">
        <v>66</v>
      </c>
      <c r="K88" s="78" t="s">
        <v>67</v>
      </c>
      <c r="L88" s="3"/>
    </row>
    <row r="89" spans="1:14" ht="20.100000000000001" customHeight="1" outlineLevel="1">
      <c r="A89" s="9" t="s">
        <v>4</v>
      </c>
      <c r="B89" s="11" t="s">
        <v>320</v>
      </c>
      <c r="C89" s="11"/>
      <c r="D89" s="11"/>
      <c r="E89" s="11"/>
      <c r="F89" s="11"/>
      <c r="G89" s="11"/>
      <c r="H89" s="11"/>
      <c r="I89" s="80">
        <v>2893600.5804047468</v>
      </c>
      <c r="J89" s="80">
        <v>0.17280234972532127</v>
      </c>
      <c r="K89" s="80">
        <v>2.4370432807676286E-7</v>
      </c>
      <c r="L89" s="3"/>
    </row>
    <row r="90" spans="1:14" ht="20.100000000000001" customHeight="1" outlineLevel="1">
      <c r="A90" s="9" t="s">
        <v>3</v>
      </c>
      <c r="B90" s="8" t="s">
        <v>64</v>
      </c>
      <c r="C90" s="8"/>
      <c r="D90" s="8"/>
      <c r="E90" s="8"/>
      <c r="F90" s="8"/>
      <c r="G90" s="8"/>
      <c r="H90" s="8"/>
      <c r="I90" s="80">
        <v>2891153.377181747</v>
      </c>
      <c r="J90" s="80">
        <v>0.13310456172127433</v>
      </c>
      <c r="K90" s="80">
        <v>8.2712960706515099E-8</v>
      </c>
      <c r="L90" s="3"/>
    </row>
    <row r="91" spans="1:14" ht="20.100000000000001" customHeight="1" outlineLevel="1">
      <c r="A91" s="9" t="s">
        <v>2</v>
      </c>
      <c r="B91" s="8" t="s">
        <v>65</v>
      </c>
      <c r="C91" s="8"/>
      <c r="D91" s="8"/>
      <c r="E91" s="8"/>
      <c r="F91" s="8"/>
      <c r="G91" s="8"/>
      <c r="H91" s="8"/>
      <c r="I91" s="80">
        <v>2837604.2592452122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H.3</v>
      </c>
      <c r="B94" s="14" t="s">
        <v>68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H.3.1</v>
      </c>
      <c r="B112" s="12" t="s">
        <v>57</v>
      </c>
      <c r="C112" s="12"/>
      <c r="D112" s="12"/>
      <c r="E112" s="12"/>
      <c r="F112" s="12"/>
      <c r="G112" s="12"/>
      <c r="H112" s="12"/>
      <c r="I112" s="12"/>
      <c r="J112" s="77" t="s">
        <v>58</v>
      </c>
      <c r="K112" s="78" t="s">
        <v>69</v>
      </c>
      <c r="L112" s="3"/>
    </row>
    <row r="113" spans="1:21" ht="20.100000000000001" customHeight="1" outlineLevel="1">
      <c r="A113" s="9" t="s">
        <v>4</v>
      </c>
      <c r="B113" s="11" t="s">
        <v>318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-32.091660449426485</v>
      </c>
      <c r="L113" s="3"/>
    </row>
    <row r="114" spans="1:21" ht="20.100000000000001" customHeight="1" outlineLevel="1">
      <c r="A114" s="9" t="s">
        <v>3</v>
      </c>
      <c r="B114" s="8" t="s">
        <v>60</v>
      </c>
      <c r="C114" s="8"/>
      <c r="D114" s="8"/>
      <c r="E114" s="8"/>
      <c r="F114" s="8"/>
      <c r="G114" s="8"/>
      <c r="H114" s="8"/>
      <c r="I114" s="7"/>
      <c r="J114" s="79">
        <f>point2.Z</f>
        <v>1541.2066792348119</v>
      </c>
      <c r="K114" s="79">
        <v>3088.5458507634571</v>
      </c>
      <c r="L114" s="3"/>
    </row>
    <row r="115" spans="1:21" ht="20.100000000000001" customHeight="1" outlineLevel="1">
      <c r="A115" s="9" t="s">
        <v>2</v>
      </c>
      <c r="B115" s="8" t="s">
        <v>61</v>
      </c>
      <c r="C115" s="8"/>
      <c r="D115" s="8"/>
      <c r="E115" s="8"/>
      <c r="F115" s="8"/>
      <c r="G115" s="8"/>
      <c r="H115" s="8"/>
      <c r="I115" s="7"/>
      <c r="J115" s="79">
        <f>point3.Z</f>
        <v>114.91611609263964</v>
      </c>
      <c r="K115" s="79">
        <v>156.6081239128045</v>
      </c>
      <c r="L115" s="3"/>
    </row>
    <row r="116" spans="1:21" ht="20.100000000000001" customHeight="1" outlineLevel="1">
      <c r="A116" s="9" t="s">
        <v>6</v>
      </c>
      <c r="B116" s="8" t="s">
        <v>63</v>
      </c>
      <c r="C116" s="8"/>
      <c r="D116" s="8"/>
      <c r="E116" s="8"/>
      <c r="F116" s="8"/>
      <c r="G116" s="8"/>
      <c r="H116" s="8"/>
      <c r="I116" s="7"/>
      <c r="J116" s="79">
        <f>point4.Z</f>
        <v>-804.61732106024112</v>
      </c>
      <c r="K116" s="79">
        <v>-240.35514075009525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H.3.2</v>
      </c>
      <c r="B118" s="12" t="s">
        <v>62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66</v>
      </c>
      <c r="K118" s="78" t="s">
        <v>67</v>
      </c>
      <c r="L118" s="3"/>
    </row>
    <row r="119" spans="1:21" ht="20.100000000000001" customHeight="1" outlineLevel="1">
      <c r="A119" s="9" t="s">
        <v>4</v>
      </c>
      <c r="B119" s="11" t="s">
        <v>320</v>
      </c>
      <c r="C119" s="11"/>
      <c r="D119" s="11"/>
      <c r="E119" s="11"/>
      <c r="F119" s="11"/>
      <c r="G119" s="11"/>
      <c r="H119" s="11"/>
      <c r="I119" s="80">
        <v>54.820958163084363</v>
      </c>
      <c r="J119" s="80">
        <v>7.9852229242372876E-4</v>
      </c>
      <c r="K119" s="147">
        <v>7.5907182981623907E-10</v>
      </c>
      <c r="L119" s="3"/>
    </row>
    <row r="120" spans="1:21" ht="20.100000000000001" customHeight="1" outlineLevel="1">
      <c r="A120" s="9" t="s">
        <v>3</v>
      </c>
      <c r="B120" s="8" t="s">
        <v>64</v>
      </c>
      <c r="C120" s="8"/>
      <c r="D120" s="8"/>
      <c r="E120" s="8"/>
      <c r="F120" s="8"/>
      <c r="G120" s="8"/>
      <c r="H120" s="8"/>
      <c r="I120" s="80">
        <v>50.102223771594524</v>
      </c>
      <c r="J120" s="80">
        <v>7.2197641517076781E-4</v>
      </c>
      <c r="K120" s="80">
        <v>4.4864583216989558E-10</v>
      </c>
      <c r="L120" s="3"/>
    </row>
    <row r="121" spans="1:21" ht="20.100000000000001" customHeight="1" outlineLevel="1">
      <c r="A121" s="9" t="s">
        <v>2</v>
      </c>
      <c r="B121" s="8" t="s">
        <v>65</v>
      </c>
      <c r="C121" s="8"/>
      <c r="D121" s="8"/>
      <c r="E121" s="8"/>
      <c r="F121" s="8"/>
      <c r="G121" s="8"/>
      <c r="H121" s="8"/>
      <c r="I121" s="80">
        <v>-240.35514075009525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H.4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H.4.1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4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3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2.1533230192475297</v>
      </c>
      <c r="K128" s="93" t="s">
        <v>7</v>
      </c>
      <c r="L128" s="3"/>
      <c r="U128" s="99"/>
    </row>
    <row r="129" spans="1:21" ht="20.100000000000001" customHeight="1">
      <c r="A129" s="9" t="s">
        <v>2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0.44426272750754392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H.4.1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4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2.9062003167089676</v>
      </c>
      <c r="K132" s="5" t="s">
        <v>85</v>
      </c>
      <c r="L132" s="3"/>
      <c r="U132" s="99"/>
    </row>
    <row r="133" spans="1:21" ht="20.100000000000001" customHeight="1">
      <c r="A133" s="9" t="s">
        <v>3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51">
        <v>800.40722561969153</v>
      </c>
      <c r="K133" s="5" t="s">
        <v>80</v>
      </c>
      <c r="L133" s="3"/>
      <c r="U133" s="99"/>
    </row>
    <row r="134" spans="1:21" ht="20.100000000000001" customHeight="1">
      <c r="A134" s="9" t="s">
        <v>2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87000.000000000029</v>
      </c>
      <c r="K134" s="5" t="s">
        <v>218</v>
      </c>
      <c r="L134" s="3"/>
      <c r="U134" s="99"/>
    </row>
    <row r="135" spans="1:21" ht="20.100000000000001" customHeight="1">
      <c r="A135" s="9" t="s">
        <v>6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52">
        <v>290000000.00000006</v>
      </c>
      <c r="K135" s="5" t="s">
        <v>288</v>
      </c>
      <c r="L135" s="3"/>
      <c r="U135" s="99"/>
    </row>
    <row r="136" spans="1:21" ht="20.100000000000001" customHeight="1">
      <c r="A136" s="9" t="s">
        <v>5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51">
        <v>6.3920011573135929</v>
      </c>
      <c r="K136" s="5" t="s">
        <v>80</v>
      </c>
      <c r="L136" s="3"/>
      <c r="U136" s="99"/>
    </row>
    <row r="137" spans="1:21" ht="20.100000000000001" customHeight="1">
      <c r="A137" s="9" t="s">
        <v>30</v>
      </c>
      <c r="B137" s="8" t="s">
        <v>78</v>
      </c>
      <c r="C137" s="8"/>
      <c r="D137" s="8"/>
      <c r="E137" s="8"/>
      <c r="F137" s="8"/>
      <c r="G137" s="8"/>
      <c r="H137" s="8"/>
      <c r="I137" s="7" t="s">
        <v>79</v>
      </c>
      <c r="J137" s="62">
        <v>1774.9582989094115</v>
      </c>
      <c r="K137" s="5" t="s">
        <v>80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H.4.2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4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0.44781758178683745</v>
      </c>
      <c r="K140" s="5" t="s">
        <v>7</v>
      </c>
      <c r="L140" s="3"/>
      <c r="U140" s="99"/>
    </row>
    <row r="141" spans="1:21" ht="20.100000000000001" customHeight="1">
      <c r="A141" s="9" t="s">
        <v>3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15956.258245417217</v>
      </c>
      <c r="K141" s="5" t="s">
        <v>80</v>
      </c>
      <c r="L141" s="3"/>
      <c r="U141" s="99"/>
    </row>
    <row r="142" spans="1:21" ht="20.100000000000001" customHeight="1">
      <c r="A142" s="9" t="s">
        <v>2</v>
      </c>
      <c r="B142" s="8" t="s">
        <v>83</v>
      </c>
      <c r="C142" s="8"/>
      <c r="D142" s="8"/>
      <c r="E142" s="8"/>
      <c r="F142" s="8"/>
      <c r="G142" s="8"/>
      <c r="H142" s="8"/>
      <c r="I142" s="82" t="s">
        <v>84</v>
      </c>
      <c r="J142" s="6">
        <v>1.1112390055117838</v>
      </c>
      <c r="K142" s="5" t="s">
        <v>85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H.4.3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4</v>
      </c>
      <c r="B145" s="8" t="s">
        <v>72</v>
      </c>
      <c r="C145" s="8"/>
      <c r="D145" s="8"/>
      <c r="E145" s="8"/>
      <c r="F145" s="8"/>
      <c r="G145" s="8"/>
      <c r="H145" s="8"/>
      <c r="I145" s="7" t="s">
        <v>73</v>
      </c>
      <c r="J145" s="62">
        <v>2068.2520235998149</v>
      </c>
      <c r="K145" s="5" t="s">
        <v>8</v>
      </c>
      <c r="L145" s="3"/>
      <c r="U145" s="101"/>
    </row>
    <row r="146" spans="1:21" ht="20.100000000000001" customHeight="1">
      <c r="A146" s="9" t="s">
        <v>3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1386.9263692062407</v>
      </c>
      <c r="K146" s="5" t="s">
        <v>8</v>
      </c>
      <c r="L146" s="3"/>
      <c r="U146" s="101"/>
    </row>
    <row r="147" spans="1:21" ht="20.100000000000001" customHeight="1">
      <c r="A147" s="9" t="s">
        <v>2</v>
      </c>
      <c r="B147" s="8" t="s">
        <v>329</v>
      </c>
      <c r="C147" s="8"/>
      <c r="D147" s="8"/>
      <c r="E147" s="8"/>
      <c r="F147" s="8"/>
      <c r="G147" s="8"/>
      <c r="H147" s="8"/>
      <c r="I147" s="81" t="s">
        <v>330</v>
      </c>
      <c r="J147" s="62">
        <v>0</v>
      </c>
      <c r="K147" s="5" t="s">
        <v>8</v>
      </c>
      <c r="L147" s="3"/>
      <c r="U147" s="101"/>
    </row>
    <row r="148" spans="1:21" ht="20.100000000000001" customHeight="1">
      <c r="A148" s="9" t="s">
        <v>6</v>
      </c>
      <c r="B148" s="8" t="s">
        <v>81</v>
      </c>
      <c r="C148" s="8"/>
      <c r="D148" s="8"/>
      <c r="E148" s="8"/>
      <c r="F148" s="8"/>
      <c r="G148" s="8"/>
      <c r="H148" s="8"/>
      <c r="I148" s="81" t="s">
        <v>82</v>
      </c>
      <c r="J148" s="62">
        <v>-681.3256543935745</v>
      </c>
      <c r="K148" s="5" t="s">
        <v>8</v>
      </c>
      <c r="L148" s="3"/>
    </row>
    <row r="149" spans="1:21" ht="20.100000000000001" customHeight="1">
      <c r="A149" s="9" t="s">
        <v>5</v>
      </c>
      <c r="B149" s="8" t="s">
        <v>346</v>
      </c>
      <c r="C149" s="8"/>
      <c r="D149" s="8"/>
      <c r="E149" s="8"/>
      <c r="F149" s="8"/>
      <c r="G149" s="8"/>
      <c r="H149" s="8"/>
      <c r="I149" s="81" t="s">
        <v>347</v>
      </c>
      <c r="J149" s="62">
        <v>-681.3256543935745</v>
      </c>
      <c r="K149" s="5" t="s">
        <v>8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H.4.4</v>
      </c>
      <c r="B151" s="12" t="s">
        <v>254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4</v>
      </c>
      <c r="B152" s="8" t="s">
        <v>86</v>
      </c>
      <c r="C152" s="8"/>
      <c r="D152" s="8"/>
      <c r="E152" s="8"/>
      <c r="F152" s="8"/>
      <c r="G152" s="8"/>
      <c r="H152" s="8"/>
      <c r="I152" s="81" t="s">
        <v>87</v>
      </c>
      <c r="J152" s="67">
        <v>0.14230099316700437</v>
      </c>
      <c r="K152" s="5" t="s">
        <v>85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H.4.5</v>
      </c>
      <c r="B154" s="12" t="s">
        <v>255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233</v>
      </c>
      <c r="N154" s="78" t="s">
        <v>226</v>
      </c>
      <c r="O154" s="78">
        <v>1</v>
      </c>
      <c r="P154" s="78" t="s">
        <v>227</v>
      </c>
      <c r="Q154" s="78" t="s">
        <v>228</v>
      </c>
      <c r="R154" s="78" t="s">
        <v>229</v>
      </c>
      <c r="S154" s="78" t="s">
        <v>230</v>
      </c>
      <c r="U154" s="99"/>
    </row>
    <row r="155" spans="1:21" ht="20.100000000000001" customHeight="1">
      <c r="A155" s="9" t="s">
        <v>4</v>
      </c>
      <c r="B155" s="8" t="s">
        <v>221</v>
      </c>
      <c r="C155" s="8"/>
      <c r="D155" s="8"/>
      <c r="E155" s="8"/>
      <c r="F155" s="8"/>
      <c r="G155" s="8"/>
      <c r="H155" s="8"/>
      <c r="I155" s="7" t="s">
        <v>234</v>
      </c>
      <c r="J155" s="62">
        <v>1710.5339527007882</v>
      </c>
      <c r="K155" s="5" t="s">
        <v>222</v>
      </c>
      <c r="L155" s="3"/>
      <c r="M155" s="70" t="s">
        <v>232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224</v>
      </c>
      <c r="U155" s="99"/>
    </row>
    <row r="156" spans="1:21" ht="20.100000000000001" customHeight="1">
      <c r="A156" s="9" t="s">
        <v>3</v>
      </c>
      <c r="B156" s="8" t="s">
        <v>76</v>
      </c>
      <c r="C156" s="8"/>
      <c r="D156" s="8"/>
      <c r="E156" s="8"/>
      <c r="F156" s="8"/>
      <c r="G156" s="8"/>
      <c r="H156" s="8"/>
      <c r="I156" s="7" t="s">
        <v>236</v>
      </c>
      <c r="J156" s="62">
        <v>600.85776552878792</v>
      </c>
      <c r="K156" s="5" t="s">
        <v>77</v>
      </c>
      <c r="L156" s="3"/>
      <c r="M156" s="70" t="s">
        <v>231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223</v>
      </c>
      <c r="U156" s="99"/>
    </row>
    <row r="157" spans="1:21" ht="20.100000000000001" customHeight="1">
      <c r="A157" s="9" t="s">
        <v>2</v>
      </c>
      <c r="B157" s="8" t="s">
        <v>283</v>
      </c>
      <c r="C157" s="8"/>
      <c r="D157" s="8"/>
      <c r="E157" s="8"/>
      <c r="F157" s="8"/>
      <c r="G157" s="8"/>
      <c r="H157" s="8"/>
      <c r="I157" s="7" t="s">
        <v>219</v>
      </c>
      <c r="J157" s="62">
        <v>4344.0537979949813</v>
      </c>
      <c r="K157" s="5" t="s">
        <v>218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H.4.6</v>
      </c>
      <c r="B159" s="12" t="s">
        <v>239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4</v>
      </c>
      <c r="B160" s="11" t="s">
        <v>237</v>
      </c>
      <c r="C160" s="11"/>
      <c r="D160" s="11"/>
      <c r="E160" s="11"/>
      <c r="F160" s="11"/>
      <c r="G160" s="11"/>
      <c r="H160" s="11"/>
      <c r="I160" s="10" t="s">
        <v>238</v>
      </c>
      <c r="J160" s="92">
        <v>119.99999999999999</v>
      </c>
      <c r="K160" s="93" t="s">
        <v>215</v>
      </c>
      <c r="L160" s="3"/>
      <c r="U160" s="99"/>
    </row>
    <row r="161" spans="1:21" ht="20.100000000000001" customHeight="1">
      <c r="A161" s="9" t="s">
        <v>3</v>
      </c>
      <c r="B161" s="8" t="s">
        <v>70</v>
      </c>
      <c r="C161" s="8"/>
      <c r="D161" s="8"/>
      <c r="E161" s="8"/>
      <c r="F161" s="8"/>
      <c r="G161" s="8"/>
      <c r="H161" s="8"/>
      <c r="I161" s="7" t="s">
        <v>71</v>
      </c>
      <c r="J161" s="64">
        <v>225.55390100553569</v>
      </c>
      <c r="K161" s="5" t="s">
        <v>7</v>
      </c>
      <c r="L161" s="3"/>
      <c r="U161" s="100"/>
    </row>
    <row r="162" spans="1:21" ht="20.100000000000001" customHeight="1">
      <c r="A162" s="9" t="s">
        <v>2</v>
      </c>
      <c r="B162" s="8" t="s">
        <v>292</v>
      </c>
      <c r="C162" s="8"/>
      <c r="D162" s="8"/>
      <c r="E162" s="8"/>
      <c r="F162" s="8"/>
      <c r="G162" s="8"/>
      <c r="H162" s="8"/>
      <c r="I162" s="7" t="s">
        <v>291</v>
      </c>
      <c r="J162" s="64">
        <v>112.77695050276785</v>
      </c>
      <c r="K162" s="5" t="s">
        <v>7</v>
      </c>
      <c r="L162" s="3"/>
      <c r="U162" s="100"/>
    </row>
    <row r="163" spans="1:21" ht="20.100000000000001" customHeight="1">
      <c r="A163" s="9" t="s">
        <v>6</v>
      </c>
      <c r="B163" s="8" t="s">
        <v>293</v>
      </c>
      <c r="C163" s="8"/>
      <c r="D163" s="8"/>
      <c r="E163" s="8"/>
      <c r="F163" s="8"/>
      <c r="G163" s="8"/>
      <c r="H163" s="8"/>
      <c r="I163" s="7" t="s">
        <v>294</v>
      </c>
      <c r="J163" s="152">
        <v>123831110.42899768</v>
      </c>
      <c r="K163" s="5" t="s">
        <v>288</v>
      </c>
      <c r="L163" s="3"/>
      <c r="U163" s="100"/>
    </row>
    <row r="164" spans="1:21" ht="20.100000000000001" customHeight="1">
      <c r="A164" s="9" t="s">
        <v>5</v>
      </c>
      <c r="B164" s="8" t="s">
        <v>225</v>
      </c>
      <c r="C164" s="8"/>
      <c r="D164" s="8"/>
      <c r="E164" s="8"/>
      <c r="F164" s="8"/>
      <c r="G164" s="8"/>
      <c r="H164" s="8"/>
      <c r="I164" s="7" t="s">
        <v>235</v>
      </c>
      <c r="J164" s="92">
        <v>10310.000230734646</v>
      </c>
      <c r="K164" s="5" t="s">
        <v>222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30</v>
      </c>
      <c r="B165" s="17" t="s">
        <v>88</v>
      </c>
      <c r="C165" s="17"/>
      <c r="D165" s="17"/>
      <c r="E165" s="17"/>
      <c r="F165" s="17"/>
      <c r="G165" s="17"/>
      <c r="H165" s="17"/>
      <c r="I165" s="83" t="s">
        <v>89</v>
      </c>
      <c r="J165" s="84">
        <v>0.11270892416039283</v>
      </c>
      <c r="K165" s="15" t="s">
        <v>85</v>
      </c>
      <c r="L165" s="3"/>
    </row>
    <row r="166" spans="1:21" ht="20.100000000000001" customHeight="1">
      <c r="A166" s="9" t="s">
        <v>33</v>
      </c>
      <c r="B166" s="8" t="s">
        <v>90</v>
      </c>
      <c r="C166" s="8"/>
      <c r="D166" s="8"/>
      <c r="E166" s="8"/>
      <c r="F166" s="8"/>
      <c r="G166" s="8"/>
      <c r="H166" s="8"/>
      <c r="I166" s="7" t="s">
        <v>91</v>
      </c>
      <c r="J166" s="66">
        <v>0.61134783038820784</v>
      </c>
      <c r="K166" s="5" t="s">
        <v>85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18" priority="3" stopIfTrue="1" operator="between">
      <formula>0</formula>
      <formula>1</formula>
    </cfRule>
  </conditionalFormatting>
  <conditionalFormatting sqref="K94">
    <cfRule type="cellIs" dxfId="17" priority="2" stopIfTrue="1" operator="between">
      <formula>0</formula>
      <formula>1</formula>
    </cfRule>
  </conditionalFormatting>
  <conditionalFormatting sqref="K124">
    <cfRule type="cellIs" dxfId="16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C33B-3A47-45F1-AB71-67A51F114D32}">
  <sheetPr codeName="Tabelle12"/>
  <dimension ref="B2:R133"/>
  <sheetViews>
    <sheetView showGridLines="0" tabSelected="1" topLeftCell="A58" zoomScaleNormal="100" workbookViewId="0">
      <selection activeCell="F94" sqref="F94"/>
    </sheetView>
  </sheetViews>
  <sheetFormatPr defaultColWidth="11.5546875" defaultRowHeight="13.2"/>
  <cols>
    <col min="1" max="1" width="2.6640625" customWidth="1"/>
    <col min="3" max="4" width="14.88671875" customWidth="1"/>
    <col min="5" max="7" width="16.88671875" customWidth="1"/>
    <col min="8" max="8" width="66.44140625" bestFit="1" customWidth="1"/>
    <col min="10" max="10" width="0" hidden="1" customWidth="1"/>
  </cols>
  <sheetData>
    <row r="2" spans="2:14">
      <c r="B2" s="117" t="s">
        <v>214</v>
      </c>
      <c r="N2" s="117" t="s">
        <v>282</v>
      </c>
    </row>
    <row r="4" spans="2:14">
      <c r="B4" s="117" t="s">
        <v>281</v>
      </c>
    </row>
    <row r="20" spans="2:18" ht="13.8">
      <c r="G20" s="134" t="s">
        <v>289</v>
      </c>
    </row>
    <row r="21" spans="2:18" ht="18">
      <c r="G21" s="135">
        <v>30</v>
      </c>
    </row>
    <row r="22" spans="2:18">
      <c r="G22" s="136">
        <f>MATCH(gap_angle,N48:Q48,0)</f>
        <v>1</v>
      </c>
    </row>
    <row r="23" spans="2:18">
      <c r="G23" s="136" t="str">
        <f>"Gap"&amp;gap_angle&amp;"deg"</f>
        <v>Gap30deg</v>
      </c>
    </row>
    <row r="25" spans="2:18">
      <c r="H25" t="s">
        <v>328</v>
      </c>
    </row>
    <row r="26" spans="2:18">
      <c r="B26" s="116" t="s">
        <v>213</v>
      </c>
      <c r="C26" s="116" t="s">
        <v>212</v>
      </c>
      <c r="D26" s="116" t="s">
        <v>211</v>
      </c>
      <c r="E26" s="116" t="s">
        <v>216</v>
      </c>
      <c r="F26" s="116" t="s">
        <v>217</v>
      </c>
      <c r="G26" s="116" t="s">
        <v>220</v>
      </c>
      <c r="H26" s="116" t="s">
        <v>210</v>
      </c>
      <c r="I26" s="115"/>
      <c r="J26" s="115"/>
      <c r="K26" s="116" t="s">
        <v>213</v>
      </c>
      <c r="L26" s="116" t="s">
        <v>212</v>
      </c>
      <c r="M26" s="116" t="s">
        <v>211</v>
      </c>
      <c r="N26" s="116" t="s">
        <v>280</v>
      </c>
      <c r="O26" s="116" t="s">
        <v>279</v>
      </c>
      <c r="P26" s="116" t="s">
        <v>278</v>
      </c>
      <c r="Q26" s="116" t="s">
        <v>277</v>
      </c>
    </row>
    <row r="27" spans="2:18" ht="15.6">
      <c r="B27" s="106">
        <v>1</v>
      </c>
      <c r="C27" s="103" t="s">
        <v>197</v>
      </c>
      <c r="E27" s="104"/>
      <c r="F27" s="107" t="s">
        <v>85</v>
      </c>
      <c r="G27" s="104"/>
      <c r="H27" t="s">
        <v>209</v>
      </c>
      <c r="I27" s="138"/>
      <c r="K27" s="106">
        <v>1</v>
      </c>
      <c r="L27" s="103" t="s">
        <v>197</v>
      </c>
      <c r="N27" s="104"/>
      <c r="O27" s="104"/>
      <c r="P27" s="104"/>
      <c r="Q27" s="104"/>
      <c r="R27" t="str">
        <f t="shared" ref="R27:R66" si="0">IF(H27&lt;&gt;"",H27,"")</f>
        <v>Simplified formula used, therefore not evaluated</v>
      </c>
    </row>
    <row r="28" spans="2:18" ht="15.6">
      <c r="B28" s="106">
        <f>B27+1</f>
        <v>2</v>
      </c>
      <c r="C28" s="105" t="s">
        <v>208</v>
      </c>
      <c r="D28" s="103" t="s">
        <v>127</v>
      </c>
      <c r="E28" s="107" cm="1">
        <f t="array" ref="E28">INDEX(N28:Q28,case_number)</f>
        <v>153.74071147146736</v>
      </c>
      <c r="F28" s="107" t="s">
        <v>85</v>
      </c>
      <c r="G28" s="107"/>
      <c r="H28" t="s">
        <v>207</v>
      </c>
      <c r="I28" s="139"/>
      <c r="K28" s="106">
        <f>K27+1</f>
        <v>2</v>
      </c>
      <c r="L28" s="105" t="s">
        <v>208</v>
      </c>
      <c r="M28" s="103" t="s">
        <v>127</v>
      </c>
      <c r="N28" s="107">
        <v>153.74071147146736</v>
      </c>
      <c r="O28" s="107">
        <v>153.74071147146736</v>
      </c>
      <c r="P28" s="107">
        <v>153.74071147146736</v>
      </c>
      <c r="Q28" s="107">
        <v>153.74071147146736</v>
      </c>
      <c r="R28" t="str">
        <f t="shared" si="0"/>
        <v>Simplified formula used, therefore not used directly (but reported here for info)</v>
      </c>
    </row>
    <row r="29" spans="2:18" ht="15.6">
      <c r="B29" s="106"/>
      <c r="C29" s="105" t="s">
        <v>206</v>
      </c>
      <c r="D29" s="103" t="s">
        <v>205</v>
      </c>
      <c r="E29" s="107" cm="1">
        <f t="array" ref="E29">INDEX(N29:Q29,case_number)</f>
        <v>900</v>
      </c>
      <c r="F29" s="107" cm="1">
        <f t="array" aca="1" ref="F29" ca="1">INDIRECT(sheet_name&amp;"!bolt.fy")</f>
        <v>900</v>
      </c>
      <c r="G29" s="118">
        <f ca="1">(F29-E29)/E29</f>
        <v>0</v>
      </c>
      <c r="H29" t="s">
        <v>204</v>
      </c>
      <c r="I29" s="139"/>
      <c r="K29" s="106"/>
      <c r="L29" s="105" t="s">
        <v>206</v>
      </c>
      <c r="M29" s="103" t="s">
        <v>205</v>
      </c>
      <c r="N29" s="107">
        <v>900</v>
      </c>
      <c r="O29" s="107">
        <v>900</v>
      </c>
      <c r="P29" s="107">
        <v>900</v>
      </c>
      <c r="Q29" s="107">
        <v>900</v>
      </c>
      <c r="R29" t="str">
        <f t="shared" si="0"/>
        <v>Nominal yield strength (0.2% strain limit) for 10.9 bolts</v>
      </c>
    </row>
    <row r="30" spans="2:18" ht="15.6">
      <c r="B30" s="106"/>
      <c r="C30" s="105" t="s">
        <v>203</v>
      </c>
      <c r="D30" s="103" t="s">
        <v>143</v>
      </c>
      <c r="E30" s="107" cm="1">
        <f t="array" ref="E30">INDEX(N30:Q30,case_number)</f>
        <v>4344.0716042398344</v>
      </c>
      <c r="F30" s="107" cm="1">
        <f t="array" aca="1" ref="F30" ca="1">INDIRECT(sheet_name&amp;"!bolt.As")</f>
        <v>4344.0537979949813</v>
      </c>
      <c r="G30" s="118">
        <f ca="1">(F30-E30)/E30</f>
        <v>-4.0989759090784605E-6</v>
      </c>
      <c r="I30" s="139"/>
      <c r="K30" s="106"/>
      <c r="L30" s="105" t="s">
        <v>203</v>
      </c>
      <c r="M30" s="103" t="s">
        <v>143</v>
      </c>
      <c r="N30" s="107">
        <v>4344.0716042398344</v>
      </c>
      <c r="O30" s="107">
        <v>4344.0716042398344</v>
      </c>
      <c r="P30" s="107">
        <v>4344.0716042398344</v>
      </c>
      <c r="Q30" s="107">
        <v>4344.0716042398344</v>
      </c>
      <c r="R30" t="str">
        <f t="shared" si="0"/>
        <v/>
      </c>
    </row>
    <row r="31" spans="2:18" ht="15.6">
      <c r="B31" s="106">
        <f>B28+1</f>
        <v>3</v>
      </c>
      <c r="C31" s="103" t="s">
        <v>197</v>
      </c>
      <c r="D31" s="103" t="s">
        <v>127</v>
      </c>
      <c r="E31" s="107" cm="1">
        <f t="array" ref="E31">INDEX(N31:Q31,case_number)</f>
        <v>2876</v>
      </c>
      <c r="F31" s="107" cm="1">
        <f t="array" aca="1" ref="F31" ca="1">INDIRECT(sheet_name&amp;"!bolt.pretension")</f>
        <v>2876</v>
      </c>
      <c r="G31" s="118">
        <f ca="1">(F31-E31)/E31</f>
        <v>0</v>
      </c>
      <c r="H31" t="s">
        <v>202</v>
      </c>
      <c r="I31" s="138"/>
      <c r="K31" s="106">
        <f>K28+1</f>
        <v>3</v>
      </c>
      <c r="L31" s="103" t="s">
        <v>197</v>
      </c>
      <c r="M31" s="103" t="s">
        <v>127</v>
      </c>
      <c r="N31" s="107">
        <v>2876</v>
      </c>
      <c r="O31" s="107">
        <v>2876</v>
      </c>
      <c r="P31" s="107">
        <v>2876</v>
      </c>
      <c r="Q31" s="107">
        <v>2876</v>
      </c>
      <c r="R31" t="str">
        <f t="shared" si="0"/>
        <v>Design value of preload, simplified formula</v>
      </c>
    </row>
    <row r="32" spans="2:18" ht="15.6">
      <c r="B32" s="106"/>
      <c r="C32" s="103" t="s">
        <v>201</v>
      </c>
      <c r="D32" s="103" t="s">
        <v>127</v>
      </c>
      <c r="E32" s="107" cm="1">
        <f t="array" ref="E32">INDEX(N32:Q32,case_number)</f>
        <v>3144.2390271487925</v>
      </c>
      <c r="F32" s="107" t="s">
        <v>85</v>
      </c>
      <c r="G32" s="107"/>
      <c r="I32" s="138"/>
      <c r="K32" s="106"/>
      <c r="L32" s="103" t="s">
        <v>201</v>
      </c>
      <c r="M32" s="103" t="s">
        <v>127</v>
      </c>
      <c r="N32" s="107">
        <v>3144.2390271487925</v>
      </c>
      <c r="O32" s="107">
        <v>3144.2390271487925</v>
      </c>
      <c r="P32" s="107">
        <v>3144.2390271487925</v>
      </c>
      <c r="Q32" s="107">
        <v>3144.2390271487925</v>
      </c>
      <c r="R32" t="str">
        <f t="shared" si="0"/>
        <v/>
      </c>
    </row>
    <row r="33" spans="2:18" ht="15.6">
      <c r="B33" s="106"/>
      <c r="C33" s="103" t="s">
        <v>200</v>
      </c>
      <c r="D33" s="103" t="s">
        <v>122</v>
      </c>
      <c r="E33" s="109" cm="1">
        <f t="array" ref="E33">INDEX(N33:Q33,case_number)</f>
        <v>0.03</v>
      </c>
      <c r="F33" s="109" t="s">
        <v>85</v>
      </c>
      <c r="G33" s="109"/>
      <c r="I33" s="138"/>
      <c r="K33" s="106"/>
      <c r="L33" s="103" t="s">
        <v>200</v>
      </c>
      <c r="M33" s="103" t="s">
        <v>122</v>
      </c>
      <c r="N33" s="109">
        <v>0.03</v>
      </c>
      <c r="O33" s="109">
        <v>0.03</v>
      </c>
      <c r="P33" s="109">
        <v>0.03</v>
      </c>
      <c r="Q33" s="109">
        <v>0.03</v>
      </c>
      <c r="R33" t="str">
        <f t="shared" si="0"/>
        <v/>
      </c>
    </row>
    <row r="34" spans="2:18" ht="15.6">
      <c r="B34" s="106"/>
      <c r="C34" s="103" t="s">
        <v>199</v>
      </c>
      <c r="D34" s="103" t="s">
        <v>127</v>
      </c>
      <c r="E34" s="107" cm="1">
        <f t="array" ref="E34">INDEX(N34:Q34,case_number)</f>
        <v>3074.8142294293471</v>
      </c>
      <c r="F34" s="107" t="s">
        <v>85</v>
      </c>
      <c r="G34" s="107"/>
      <c r="H34" t="s">
        <v>198</v>
      </c>
      <c r="I34" s="138"/>
      <c r="K34" s="106"/>
      <c r="L34" s="103" t="s">
        <v>199</v>
      </c>
      <c r="M34" s="103" t="s">
        <v>127</v>
      </c>
      <c r="N34" s="107">
        <v>3074.8142294293471</v>
      </c>
      <c r="O34" s="107">
        <v>3074.8142294293471</v>
      </c>
      <c r="P34" s="107">
        <v>3074.8142294293471</v>
      </c>
      <c r="Q34" s="107">
        <v>3074.8142294293471</v>
      </c>
      <c r="R34" t="str">
        <f t="shared" si="0"/>
        <v>Design preload averaged over 5 bolts</v>
      </c>
    </row>
    <row r="35" spans="2:18" ht="15.6">
      <c r="B35" s="131">
        <f>B31+1</f>
        <v>4</v>
      </c>
      <c r="C35" s="130" t="s">
        <v>276</v>
      </c>
      <c r="D35" s="130" t="s">
        <v>127</v>
      </c>
      <c r="E35" s="129" cm="1">
        <f t="array" ref="E35">INDEX(N35:Q35,case_number)</f>
        <v>2466</v>
      </c>
      <c r="F35" s="129" t="s">
        <v>85</v>
      </c>
      <c r="G35" s="129"/>
      <c r="H35" s="132" t="s">
        <v>196</v>
      </c>
      <c r="I35" s="140"/>
      <c r="J35" s="132"/>
      <c r="K35" s="131">
        <f>K31+1</f>
        <v>4</v>
      </c>
      <c r="L35" s="130" t="s">
        <v>276</v>
      </c>
      <c r="M35" s="130" t="s">
        <v>127</v>
      </c>
      <c r="N35" s="129">
        <v>2466</v>
      </c>
      <c r="O35" s="129">
        <v>2466</v>
      </c>
      <c r="P35" s="129">
        <v>2466</v>
      </c>
      <c r="Q35" s="129">
        <v>2466</v>
      </c>
      <c r="R35" t="str">
        <f t="shared" si="0"/>
        <v>Limit value for HV bolts</v>
      </c>
    </row>
    <row r="36" spans="2:18" ht="15.6">
      <c r="B36" s="106"/>
      <c r="C36" s="105" t="s">
        <v>195</v>
      </c>
      <c r="D36" s="103" t="s">
        <v>275</v>
      </c>
      <c r="E36" s="114" cm="1">
        <f t="array" ref="E36">INDEX(N36:Q36,case_number)</f>
        <v>5.8458922294713925E-10</v>
      </c>
      <c r="F36" s="114" cm="1">
        <f t="array" aca="1" ref="F36" ca="1">1/(INDIRECT(sheet_name&amp;"!bolt.axial_stiffness")*1000000)</f>
        <v>5.8461277452054354E-10</v>
      </c>
      <c r="G36" s="118">
        <f ca="1">(F36-E36)/E36</f>
        <v>4.0287388955891572E-5</v>
      </c>
      <c r="I36" s="141"/>
      <c r="J36" s="142"/>
      <c r="K36" s="143"/>
      <c r="L36" s="105" t="s">
        <v>195</v>
      </c>
      <c r="M36" s="103" t="s">
        <v>275</v>
      </c>
      <c r="N36" s="114">
        <v>5.8458922294713925E-10</v>
      </c>
      <c r="O36" s="114">
        <v>5.8458922294713925E-10</v>
      </c>
      <c r="P36" s="114">
        <v>5.8458922294713925E-10</v>
      </c>
      <c r="Q36" s="114">
        <v>5.8458922294713925E-10</v>
      </c>
      <c r="R36" t="str">
        <f t="shared" si="0"/>
        <v/>
      </c>
    </row>
    <row r="37" spans="2:18" ht="15.6">
      <c r="B37" s="106"/>
      <c r="C37" s="105" t="s">
        <v>194</v>
      </c>
      <c r="D37" s="103" t="s">
        <v>275</v>
      </c>
      <c r="E37" s="114" cm="1">
        <f t="array" ref="E37">INDEX(N37:Q37,case_number)</f>
        <v>9.6993208304588435E-11</v>
      </c>
      <c r="F37" s="114" cm="1">
        <f t="array" aca="1" ref="F37" ca="1">1/(INDIRECT(sheet_name&amp;"!clamped_parts_stiffness")*1000000)</f>
        <v>9.6993208304588397E-11</v>
      </c>
      <c r="G37" s="118">
        <f ca="1">(F37-E37)/E37</f>
        <v>-3.9976088935691896E-16</v>
      </c>
      <c r="H37" s="148"/>
      <c r="I37" s="141"/>
      <c r="J37" s="142"/>
      <c r="K37" s="143"/>
      <c r="L37" s="105" t="s">
        <v>194</v>
      </c>
      <c r="M37" s="103" t="s">
        <v>275</v>
      </c>
      <c r="N37" s="114">
        <v>9.6993208304588435E-11</v>
      </c>
      <c r="O37" s="114">
        <v>9.6993208304588435E-11</v>
      </c>
      <c r="P37" s="114">
        <v>9.6993208304588435E-11</v>
      </c>
      <c r="Q37" s="114">
        <v>9.6993208304588435E-11</v>
      </c>
      <c r="R37" t="str">
        <f t="shared" si="0"/>
        <v/>
      </c>
    </row>
    <row r="38" spans="2:18">
      <c r="B38" s="106"/>
      <c r="C38" s="105" t="s">
        <v>193</v>
      </c>
      <c r="D38" s="103" t="s">
        <v>122</v>
      </c>
      <c r="E38" s="109" cm="1">
        <f t="array" ref="E38">INDEX(N38:Q38,case_number)</f>
        <v>0.1423059102718657</v>
      </c>
      <c r="F38" s="109" cm="1">
        <f t="array" aca="1" ref="F38" ca="1">INDIRECT(sheet_name&amp;"!bolt.axial_stiffness")/(INDIRECT(sheet_name&amp;"!bolt.axial_stiffness")+INDIRECT(sheet_name&amp;"!clamped_parts_stiffness"))</f>
        <v>0.1423009931670044</v>
      </c>
      <c r="G38" s="118">
        <f ca="1">(F38-E38)/E38</f>
        <v>-3.4553061442869523E-5</v>
      </c>
      <c r="H38" s="148"/>
      <c r="I38" s="141"/>
      <c r="J38" s="142"/>
      <c r="K38" s="143"/>
      <c r="L38" s="105" t="s">
        <v>193</v>
      </c>
      <c r="M38" s="103" t="s">
        <v>122</v>
      </c>
      <c r="N38" s="109">
        <v>0.1423059102718657</v>
      </c>
      <c r="O38" s="109">
        <v>0.1423059102718657</v>
      </c>
      <c r="P38" s="109">
        <v>0.1423059102718657</v>
      </c>
      <c r="Q38" s="109">
        <v>0.1423059102718657</v>
      </c>
      <c r="R38" t="str">
        <f t="shared" si="0"/>
        <v/>
      </c>
    </row>
    <row r="39" spans="2:18" ht="15.6">
      <c r="B39" s="106">
        <f>B35+1</f>
        <v>5</v>
      </c>
      <c r="C39" s="105" t="s">
        <v>192</v>
      </c>
      <c r="D39" s="103" t="s">
        <v>127</v>
      </c>
      <c r="E39" s="108" cm="1">
        <f t="array" ref="E39">INDEX(N39:Q39,case_number)</f>
        <v>48.860015706266829</v>
      </c>
      <c r="F39" s="108" t="s">
        <v>85</v>
      </c>
      <c r="G39" s="108"/>
      <c r="I39" s="141"/>
      <c r="J39" s="142"/>
      <c r="K39" s="143">
        <f>K35+1</f>
        <v>5</v>
      </c>
      <c r="L39" s="105" t="s">
        <v>192</v>
      </c>
      <c r="M39" s="103" t="s">
        <v>127</v>
      </c>
      <c r="N39" s="108">
        <v>48.860015706266829</v>
      </c>
      <c r="O39" s="108">
        <v>48.860015706266829</v>
      </c>
      <c r="P39" s="108">
        <v>48.860015706266829</v>
      </c>
      <c r="Q39" s="108">
        <v>48.860015706266829</v>
      </c>
      <c r="R39" t="str">
        <f t="shared" si="0"/>
        <v/>
      </c>
    </row>
    <row r="40" spans="2:18" ht="15.6">
      <c r="B40" s="106"/>
      <c r="C40" s="105" t="s">
        <v>191</v>
      </c>
      <c r="D40" s="103" t="s">
        <v>274</v>
      </c>
      <c r="E40" s="107" cm="1">
        <f t="array" ref="E40">INDEX(N40:Q40,case_number)</f>
        <v>200</v>
      </c>
      <c r="F40" s="107" t="s">
        <v>85</v>
      </c>
      <c r="G40" s="107"/>
      <c r="I40" s="141"/>
      <c r="J40" s="142"/>
      <c r="K40" s="143"/>
      <c r="L40" s="105" t="s">
        <v>191</v>
      </c>
      <c r="M40" s="103" t="s">
        <v>274</v>
      </c>
      <c r="N40" s="107">
        <v>200</v>
      </c>
      <c r="O40" s="107">
        <v>200</v>
      </c>
      <c r="P40" s="107">
        <v>200</v>
      </c>
      <c r="Q40" s="107">
        <v>200</v>
      </c>
      <c r="R40" t="str">
        <f t="shared" si="0"/>
        <v/>
      </c>
    </row>
    <row r="41" spans="2:18" ht="15.6">
      <c r="B41" s="106">
        <f>B39+1</f>
        <v>6</v>
      </c>
      <c r="C41" s="103" t="s">
        <v>190</v>
      </c>
      <c r="D41" s="103" t="s">
        <v>274</v>
      </c>
      <c r="E41" s="107" cm="1">
        <f t="array" ref="E41">INDEX(N41:Q41,case_number)</f>
        <v>33.30212829607494</v>
      </c>
      <c r="F41" s="107" t="s">
        <v>85</v>
      </c>
      <c r="G41" s="107"/>
      <c r="H41" t="s">
        <v>189</v>
      </c>
      <c r="I41" s="144"/>
      <c r="J41" s="142"/>
      <c r="K41" s="143">
        <f>K39+1</f>
        <v>6</v>
      </c>
      <c r="L41" s="103" t="s">
        <v>190</v>
      </c>
      <c r="M41" s="103" t="s">
        <v>274</v>
      </c>
      <c r="N41" s="107">
        <v>33.30212829607494</v>
      </c>
      <c r="O41" s="107">
        <v>33.30212829607494</v>
      </c>
      <c r="P41" s="107">
        <v>33.30212829607494</v>
      </c>
      <c r="Q41" s="107">
        <v>33.30212829607494</v>
      </c>
      <c r="R41" t="str">
        <f t="shared" si="0"/>
        <v>Including 50% reduction where re-tightening is assumed</v>
      </c>
    </row>
    <row r="42" spans="2:18" ht="15.6">
      <c r="B42" s="106">
        <f>B41+1</f>
        <v>7</v>
      </c>
      <c r="C42" s="103" t="s">
        <v>188</v>
      </c>
      <c r="D42" s="103" t="s">
        <v>127</v>
      </c>
      <c r="E42" s="111" cm="1">
        <f t="array" ref="E42">INDEX(N42:Q42,case_number)</f>
        <v>3323.2147772434732</v>
      </c>
      <c r="F42" s="111" t="s">
        <v>85</v>
      </c>
      <c r="G42" s="111"/>
      <c r="I42" s="144"/>
      <c r="J42" s="142"/>
      <c r="K42" s="143">
        <f>K41+1</f>
        <v>7</v>
      </c>
      <c r="L42" s="103" t="s">
        <v>188</v>
      </c>
      <c r="M42" s="103" t="s">
        <v>127</v>
      </c>
      <c r="N42" s="111">
        <v>3323.2147772434732</v>
      </c>
      <c r="O42" s="111">
        <v>3323.2147772434732</v>
      </c>
      <c r="P42" s="111">
        <v>3323.2147772434732</v>
      </c>
      <c r="Q42" s="111">
        <v>3323.2147772434732</v>
      </c>
      <c r="R42" t="str">
        <f t="shared" si="0"/>
        <v/>
      </c>
    </row>
    <row r="43" spans="2:18" ht="15.6">
      <c r="B43" s="106">
        <f>B42+1</f>
        <v>8</v>
      </c>
      <c r="C43" s="103" t="s">
        <v>187</v>
      </c>
      <c r="D43" s="103" t="s">
        <v>183</v>
      </c>
      <c r="E43" s="107" cm="1">
        <f t="array" ref="E43">INDEX(N43:Q43,case_number)</f>
        <v>321.69550000000004</v>
      </c>
      <c r="F43" s="107" t="s">
        <v>85</v>
      </c>
      <c r="G43" s="107"/>
      <c r="H43" t="s">
        <v>186</v>
      </c>
      <c r="I43" s="144"/>
      <c r="J43" s="142"/>
      <c r="K43" s="143">
        <f>K42+1</f>
        <v>8</v>
      </c>
      <c r="L43" s="103" t="s">
        <v>187</v>
      </c>
      <c r="M43" s="103" t="s">
        <v>183</v>
      </c>
      <c r="N43" s="107">
        <v>321.69550000000004</v>
      </c>
      <c r="O43" s="107">
        <v>321.69550000000004</v>
      </c>
      <c r="P43" s="107">
        <v>321.69550000000004</v>
      </c>
      <c r="Q43" s="107">
        <v>321.69550000000004</v>
      </c>
      <c r="R43" t="str">
        <f t="shared" si="0"/>
        <v>Note: S1 loads not included here, only FLS loads</v>
      </c>
    </row>
    <row r="44" spans="2:18" ht="15.6">
      <c r="B44" s="106">
        <f>B43+1</f>
        <v>9</v>
      </c>
      <c r="C44" s="103" t="s">
        <v>185</v>
      </c>
      <c r="D44" s="103" t="s">
        <v>183</v>
      </c>
      <c r="E44" s="107" cm="1">
        <f t="array" ref="E44">INDEX(N44:Q44,case_number)</f>
        <v>321.69550000000004</v>
      </c>
      <c r="F44" s="107" t="s">
        <v>85</v>
      </c>
      <c r="G44" s="107"/>
      <c r="I44" s="144"/>
      <c r="J44" s="142"/>
      <c r="K44" s="143">
        <f>K43+1</f>
        <v>9</v>
      </c>
      <c r="L44" s="103" t="s">
        <v>185</v>
      </c>
      <c r="M44" s="103" t="s">
        <v>183</v>
      </c>
      <c r="N44" s="107">
        <v>321.69550000000004</v>
      </c>
      <c r="O44" s="107">
        <v>321.69550000000004</v>
      </c>
      <c r="P44" s="107">
        <v>321.69550000000004</v>
      </c>
      <c r="Q44" s="107">
        <v>321.69550000000004</v>
      </c>
      <c r="R44" t="str">
        <f t="shared" si="0"/>
        <v/>
      </c>
    </row>
    <row r="45" spans="2:18" ht="15.6">
      <c r="B45" s="106">
        <f>B44+1</f>
        <v>10</v>
      </c>
      <c r="C45" s="103" t="s">
        <v>184</v>
      </c>
      <c r="D45" s="103" t="s">
        <v>183</v>
      </c>
      <c r="E45" s="107" cm="1">
        <f t="array" ref="E45">INDEX(N45:Q45,case_number)</f>
        <v>-318.4495</v>
      </c>
      <c r="F45" s="107" t="s">
        <v>85</v>
      </c>
      <c r="G45" s="107"/>
      <c r="I45" s="144"/>
      <c r="J45" s="142"/>
      <c r="K45" s="143">
        <f>K44+1</f>
        <v>10</v>
      </c>
      <c r="L45" s="103" t="s">
        <v>184</v>
      </c>
      <c r="M45" s="103" t="s">
        <v>183</v>
      </c>
      <c r="N45" s="107">
        <v>-318.4495</v>
      </c>
      <c r="O45" s="107">
        <v>-318.4495</v>
      </c>
      <c r="P45" s="107">
        <v>-318.4495</v>
      </c>
      <c r="Q45" s="107">
        <v>-318.4495</v>
      </c>
      <c r="R45" t="str">
        <f t="shared" si="0"/>
        <v/>
      </c>
    </row>
    <row r="46" spans="2:18" ht="15.6">
      <c r="B46" s="106"/>
      <c r="C46" s="103" t="s">
        <v>182</v>
      </c>
      <c r="D46" s="103" t="s">
        <v>127</v>
      </c>
      <c r="E46" s="111" cm="1">
        <f t="array" ref="E46">INDEX(N46:Q46,case_number)</f>
        <v>1320.324829474062</v>
      </c>
      <c r="F46" s="111" t="s">
        <v>85</v>
      </c>
      <c r="G46" s="111"/>
      <c r="I46" s="144"/>
      <c r="J46" s="142"/>
      <c r="K46" s="143"/>
      <c r="L46" s="103" t="s">
        <v>182</v>
      </c>
      <c r="M46" s="103" t="s">
        <v>127</v>
      </c>
      <c r="N46" s="111">
        <v>1320.324829474062</v>
      </c>
      <c r="O46" s="111">
        <v>1320.324829474062</v>
      </c>
      <c r="P46" s="111">
        <v>1320.324829474062</v>
      </c>
      <c r="Q46" s="111">
        <v>1320.324829474062</v>
      </c>
      <c r="R46" t="str">
        <f t="shared" si="0"/>
        <v/>
      </c>
    </row>
    <row r="47" spans="2:18" ht="15.6">
      <c r="B47" s="106">
        <f>B45+1</f>
        <v>11</v>
      </c>
      <c r="C47" s="103" t="s">
        <v>181</v>
      </c>
      <c r="D47" s="103" t="s">
        <v>122</v>
      </c>
      <c r="E47" s="104"/>
      <c r="F47" s="110" t="s">
        <v>85</v>
      </c>
      <c r="G47" s="104"/>
      <c r="H47" t="s">
        <v>303</v>
      </c>
      <c r="I47" s="144"/>
      <c r="J47" s="142"/>
      <c r="K47" s="143">
        <f>K45+1</f>
        <v>11</v>
      </c>
      <c r="L47" s="103" t="s">
        <v>181</v>
      </c>
      <c r="M47" s="103" t="s">
        <v>122</v>
      </c>
      <c r="N47" s="104"/>
      <c r="O47" s="104"/>
      <c r="P47" s="104"/>
      <c r="Q47" s="104"/>
      <c r="R47" t="str">
        <f t="shared" si="0"/>
        <v>(valid in case L-Flange is calculated)</v>
      </c>
    </row>
    <row r="48" spans="2:18" ht="15.6">
      <c r="B48" s="106"/>
      <c r="C48" s="105" t="s">
        <v>180</v>
      </c>
      <c r="D48" s="103" t="s">
        <v>179</v>
      </c>
      <c r="E48" s="110" cm="1">
        <f t="array" ref="E48">INDEX(N48:Q48,case_number)</f>
        <v>30</v>
      </c>
      <c r="F48" s="110" cm="1">
        <f t="array" aca="1" ref="F48" ca="1">INDIRECT(sheet_name&amp;"!gap.angle")</f>
        <v>29.999999999999996</v>
      </c>
      <c r="G48" s="118">
        <f t="shared" ref="G48:G53" ca="1" si="1">(F48-E48)/E48</f>
        <v>-1.1842378929335003E-16</v>
      </c>
      <c r="I48" s="141"/>
      <c r="J48" s="142"/>
      <c r="K48" s="143"/>
      <c r="L48" s="105" t="s">
        <v>180</v>
      </c>
      <c r="M48" s="103" t="s">
        <v>179</v>
      </c>
      <c r="N48" s="110">
        <v>30</v>
      </c>
      <c r="O48" s="110">
        <v>60</v>
      </c>
      <c r="P48" s="110">
        <v>90</v>
      </c>
      <c r="Q48" s="110">
        <v>120</v>
      </c>
      <c r="R48" t="str">
        <f t="shared" si="0"/>
        <v/>
      </c>
    </row>
    <row r="49" spans="2:18" ht="15.6">
      <c r="B49" s="106"/>
      <c r="C49" s="103" t="s">
        <v>178</v>
      </c>
      <c r="D49" s="103" t="s">
        <v>172</v>
      </c>
      <c r="E49" s="109" cm="1">
        <f t="array" ref="E49">INDEX(N49:Q49,case_number)</f>
        <v>1.9634954084936207</v>
      </c>
      <c r="F49" s="109" cm="1">
        <f t="array" aca="1" ref="F49" ca="1">INDIRECT(sheet_name&amp;"!gap.L")/1000</f>
        <v>1.9634954084936205</v>
      </c>
      <c r="G49" s="118">
        <f t="shared" ca="1" si="1"/>
        <v>-1.1308638867425837E-16</v>
      </c>
      <c r="H49" t="s">
        <v>316</v>
      </c>
      <c r="I49" s="144"/>
      <c r="J49" s="142"/>
      <c r="K49" s="143"/>
      <c r="L49" s="103" t="s">
        <v>178</v>
      </c>
      <c r="M49" s="103" t="s">
        <v>172</v>
      </c>
      <c r="N49" s="109">
        <v>1.9634954084936207</v>
      </c>
      <c r="O49" s="109">
        <v>3.9269908169872414</v>
      </c>
      <c r="P49" s="109">
        <v>5.8904862254808625</v>
      </c>
      <c r="Q49" s="109">
        <v>7.8539816339744828</v>
      </c>
      <c r="R49" t="str">
        <f t="shared" si="0"/>
        <v>Gap length measured on outside diameter</v>
      </c>
    </row>
    <row r="50" spans="2:18">
      <c r="B50" s="106"/>
      <c r="C50" s="103" t="s">
        <v>92</v>
      </c>
      <c r="D50" s="103" t="s">
        <v>172</v>
      </c>
      <c r="E50" s="109" cm="1">
        <f t="array" ref="E50">INDEX(N50:Q50,case_number)</f>
        <v>7.5</v>
      </c>
      <c r="F50" s="109" cm="1">
        <f t="array" aca="1" ref="F50" ca="1">2*INDIRECT(sheet_name&amp;"!Radius")/1000</f>
        <v>7.5</v>
      </c>
      <c r="G50" s="118">
        <f t="shared" ca="1" si="1"/>
        <v>0</v>
      </c>
      <c r="I50" s="144"/>
      <c r="J50" s="142"/>
      <c r="K50" s="143"/>
      <c r="L50" s="103" t="s">
        <v>92</v>
      </c>
      <c r="M50" s="103" t="s">
        <v>172</v>
      </c>
      <c r="N50" s="109">
        <v>7.5</v>
      </c>
      <c r="O50" s="109">
        <v>7.5</v>
      </c>
      <c r="P50" s="109">
        <v>7.5</v>
      </c>
      <c r="Q50" s="109">
        <v>7.5</v>
      </c>
      <c r="R50" t="str">
        <f t="shared" si="0"/>
        <v/>
      </c>
    </row>
    <row r="51" spans="2:18" ht="15.6">
      <c r="B51" s="106"/>
      <c r="C51" s="103" t="s">
        <v>177</v>
      </c>
      <c r="D51" s="103" t="s">
        <v>176</v>
      </c>
      <c r="E51" s="108" cm="1">
        <f t="array" ref="E51">INDEX(N51:Q51,case_number)</f>
        <v>1.4</v>
      </c>
      <c r="F51" s="108" cm="1">
        <f t="array" aca="1" ref="F51" ca="1">INDIRECT(sheet_name&amp;"!u_tol")</f>
        <v>1.4</v>
      </c>
      <c r="G51" s="118">
        <f t="shared" ca="1" si="1"/>
        <v>0</v>
      </c>
      <c r="I51" s="144"/>
      <c r="J51" s="142"/>
      <c r="K51" s="143"/>
      <c r="L51" s="103" t="s">
        <v>177</v>
      </c>
      <c r="M51" s="103" t="s">
        <v>176</v>
      </c>
      <c r="N51" s="108">
        <v>1.4</v>
      </c>
      <c r="O51" s="108">
        <v>1.4</v>
      </c>
      <c r="P51" s="108">
        <v>1.4</v>
      </c>
      <c r="Q51" s="108">
        <v>1.4</v>
      </c>
      <c r="R51" t="str">
        <f t="shared" si="0"/>
        <v/>
      </c>
    </row>
    <row r="52" spans="2:18" ht="15.6">
      <c r="B52" s="106">
        <f>B47+1</f>
        <v>12</v>
      </c>
      <c r="C52" s="103" t="s">
        <v>175</v>
      </c>
      <c r="D52" s="103" t="s">
        <v>125</v>
      </c>
      <c r="E52" s="109" cm="1">
        <f t="array" ref="E52">INDEX(N52:Q52,case_number)</f>
        <v>0.28773533056547307</v>
      </c>
      <c r="F52" s="109" cm="1">
        <f t="array" aca="1" ref="F52" ca="1">INDIRECT(sheet_name&amp;"!gap.k_mean")</f>
        <v>0.28773533056547312</v>
      </c>
      <c r="G52" s="118">
        <f t="shared" ca="1" si="1"/>
        <v>1.9292434864416651E-16</v>
      </c>
      <c r="I52" s="144"/>
      <c r="J52" s="142"/>
      <c r="K52" s="143">
        <f>K47+1</f>
        <v>12</v>
      </c>
      <c r="L52" s="103" t="s">
        <v>175</v>
      </c>
      <c r="M52" s="103" t="s">
        <v>125</v>
      </c>
      <c r="N52" s="109">
        <v>0.28773533056547307</v>
      </c>
      <c r="O52" s="109">
        <v>0.74253427729521915</v>
      </c>
      <c r="P52" s="109">
        <v>1.3643968401892383</v>
      </c>
      <c r="Q52" s="109">
        <v>2.1533230192475301</v>
      </c>
      <c r="R52" t="str">
        <f t="shared" si="0"/>
        <v/>
      </c>
    </row>
    <row r="53" spans="2:18" ht="15.6">
      <c r="B53" s="106">
        <f>B52+1</f>
        <v>13</v>
      </c>
      <c r="C53" s="103" t="s">
        <v>174</v>
      </c>
      <c r="D53" s="103" t="s">
        <v>122</v>
      </c>
      <c r="E53" s="109" cm="1">
        <f t="array" ref="E53">INDEX(N53:Q53,case_number)</f>
        <v>1.2162355202035975</v>
      </c>
      <c r="F53" s="109" cm="1">
        <f t="array" aca="1" ref="F53" ca="1">INDIRECT(sheet_name&amp;"!gap.COV")</f>
        <v>1.2162355202035973</v>
      </c>
      <c r="G53" s="118">
        <f t="shared" ca="1" si="1"/>
        <v>-1.825671107581705E-16</v>
      </c>
      <c r="I53" s="144"/>
      <c r="J53" s="142"/>
      <c r="K53" s="143">
        <f>K52+1</f>
        <v>13</v>
      </c>
      <c r="L53" s="103" t="s">
        <v>174</v>
      </c>
      <c r="M53" s="103" t="s">
        <v>122</v>
      </c>
      <c r="N53" s="109">
        <v>1.2162355202035975</v>
      </c>
      <c r="O53" s="109">
        <v>0.63575115537527993</v>
      </c>
      <c r="P53" s="109">
        <v>0.4993626397773579</v>
      </c>
      <c r="Q53" s="109">
        <v>0.44426272750754409</v>
      </c>
      <c r="R53" t="str">
        <f t="shared" si="0"/>
        <v/>
      </c>
    </row>
    <row r="54" spans="2:18" ht="15.6">
      <c r="B54" s="106"/>
      <c r="C54" s="103" t="s">
        <v>173</v>
      </c>
      <c r="D54" s="103" t="s">
        <v>172</v>
      </c>
      <c r="E54" s="109" cm="1">
        <f t="array" ref="E54">INDEX(N54:Q54,case_number)</f>
        <v>1.9634954084936205</v>
      </c>
      <c r="F54" s="109" t="s">
        <v>85</v>
      </c>
      <c r="G54" s="109"/>
      <c r="I54" s="144"/>
      <c r="J54" s="142"/>
      <c r="K54" s="143"/>
      <c r="L54" s="103" t="s">
        <v>173</v>
      </c>
      <c r="M54" s="103" t="s">
        <v>172</v>
      </c>
      <c r="N54" s="109">
        <v>1.9634954084936205</v>
      </c>
      <c r="O54" s="109">
        <v>1.9634954084936205</v>
      </c>
      <c r="P54" s="109">
        <v>1.9634954084936205</v>
      </c>
      <c r="Q54" s="109">
        <v>1.9634954084936205</v>
      </c>
      <c r="R54" t="str">
        <f t="shared" si="0"/>
        <v/>
      </c>
    </row>
    <row r="55" spans="2:18" ht="15.6">
      <c r="B55" s="106">
        <f>B53+1</f>
        <v>14</v>
      </c>
      <c r="C55" s="103" t="s">
        <v>171</v>
      </c>
      <c r="D55" s="103" t="s">
        <v>125</v>
      </c>
      <c r="E55" s="109" cm="1">
        <f t="array" ref="E55">INDEX(N55:Q55,case_number)</f>
        <v>1.9617469257392748</v>
      </c>
      <c r="F55" s="109" t="s">
        <v>85</v>
      </c>
      <c r="G55" s="109"/>
      <c r="I55" s="144"/>
      <c r="J55" s="142"/>
      <c r="K55" s="143">
        <f>K53+1</f>
        <v>14</v>
      </c>
      <c r="L55" s="103" t="s">
        <v>171</v>
      </c>
      <c r="M55" s="103" t="s">
        <v>125</v>
      </c>
      <c r="N55" s="109">
        <v>1.9617469257392748</v>
      </c>
      <c r="O55" s="109">
        <v>1.9617469257392748</v>
      </c>
      <c r="P55" s="109">
        <v>1.9617469257392748</v>
      </c>
      <c r="Q55" s="109">
        <v>1.9617469257392748</v>
      </c>
      <c r="R55" t="str">
        <f t="shared" si="0"/>
        <v/>
      </c>
    </row>
    <row r="56" spans="2:18" ht="15.6">
      <c r="B56" s="106">
        <f>B55+1</f>
        <v>15</v>
      </c>
      <c r="C56" s="103" t="s">
        <v>170</v>
      </c>
      <c r="D56" s="103" t="s">
        <v>125</v>
      </c>
      <c r="E56" s="109" cm="1">
        <f t="array" ref="E56">INDEX(N56:Q56,case_number)</f>
        <v>2.942620388608912</v>
      </c>
      <c r="F56" s="109" t="s">
        <v>85</v>
      </c>
      <c r="G56" s="109"/>
      <c r="I56" s="144"/>
      <c r="J56" s="142"/>
      <c r="K56" s="143">
        <f>K55+1</f>
        <v>15</v>
      </c>
      <c r="L56" s="103" t="s">
        <v>170</v>
      </c>
      <c r="M56" s="103" t="s">
        <v>125</v>
      </c>
      <c r="N56" s="109">
        <v>2.942620388608912</v>
      </c>
      <c r="O56" s="109">
        <v>2.942620388608912</v>
      </c>
      <c r="P56" s="109">
        <v>2.942620388608912</v>
      </c>
      <c r="Q56" s="109">
        <v>2.942620388608912</v>
      </c>
      <c r="R56" t="str">
        <f t="shared" si="0"/>
        <v/>
      </c>
    </row>
    <row r="57" spans="2:18" ht="15.6">
      <c r="B57" s="106">
        <f>B56+1</f>
        <v>16</v>
      </c>
      <c r="C57" s="105" t="s">
        <v>169</v>
      </c>
      <c r="D57" s="103"/>
      <c r="E57" s="109" cm="1">
        <f t="array" ref="E57">INDEX(N57:Q57,case_number)</f>
        <v>0.95286282352314688</v>
      </c>
      <c r="F57" s="109" t="s">
        <v>85</v>
      </c>
      <c r="G57" s="109"/>
      <c r="I57" s="141"/>
      <c r="J57" s="142"/>
      <c r="K57" s="143">
        <f>K56+1</f>
        <v>16</v>
      </c>
      <c r="L57" s="105" t="s">
        <v>169</v>
      </c>
      <c r="M57" s="103"/>
      <c r="N57" s="109">
        <v>0.95286282352314688</v>
      </c>
      <c r="O57" s="109">
        <v>0.58262609700472079</v>
      </c>
      <c r="P57" s="109">
        <v>0.47184092472685457</v>
      </c>
      <c r="Q57" s="109">
        <v>0.42441366570439232</v>
      </c>
      <c r="R57" t="str">
        <f t="shared" si="0"/>
        <v/>
      </c>
    </row>
    <row r="58" spans="2:18" ht="15.6">
      <c r="B58" s="106">
        <f>B57+1</f>
        <v>17</v>
      </c>
      <c r="C58" s="105" t="s">
        <v>168</v>
      </c>
      <c r="D58" s="103"/>
      <c r="E58" s="109" cm="1">
        <f t="array" ref="E58">INDEX(N58:Q58,case_number)</f>
        <v>-1.6996879926957522</v>
      </c>
      <c r="F58" s="109" t="s">
        <v>85</v>
      </c>
      <c r="G58" s="109"/>
      <c r="I58" s="141"/>
      <c r="J58" s="142"/>
      <c r="K58" s="143">
        <f>K57+1</f>
        <v>17</v>
      </c>
      <c r="L58" s="105" t="s">
        <v>168</v>
      </c>
      <c r="M58" s="103"/>
      <c r="N58" s="109">
        <v>-1.6996879926957522</v>
      </c>
      <c r="O58" s="109">
        <v>-0.46741282911895099</v>
      </c>
      <c r="P58" s="109">
        <v>0.19939552653846943</v>
      </c>
      <c r="Q58" s="109">
        <v>0.67694875947348121</v>
      </c>
      <c r="R58" t="str">
        <f t="shared" si="0"/>
        <v/>
      </c>
    </row>
    <row r="59" spans="2:18" ht="15.6">
      <c r="B59" s="106">
        <f>B58+1</f>
        <v>18</v>
      </c>
      <c r="C59" s="103" t="s">
        <v>167</v>
      </c>
      <c r="D59" s="103"/>
      <c r="E59" s="109" cm="1">
        <f t="array" ref="E59">INDEX(N59:Q59,case_number)</f>
        <v>-0.13232393428252798</v>
      </c>
      <c r="F59" s="113" t="s">
        <v>85</v>
      </c>
      <c r="G59" s="109"/>
      <c r="I59" s="144"/>
      <c r="J59" s="142"/>
      <c r="K59" s="143">
        <f>K58+1</f>
        <v>18</v>
      </c>
      <c r="L59" s="103" t="s">
        <v>167</v>
      </c>
      <c r="M59" s="103"/>
      <c r="N59" s="109">
        <v>-0.13232393428252798</v>
      </c>
      <c r="O59" s="109">
        <v>0.49094883784411425</v>
      </c>
      <c r="P59" s="109">
        <v>0.97552666362167262</v>
      </c>
      <c r="Q59" s="109">
        <v>1.3750667981906362</v>
      </c>
      <c r="R59" t="str">
        <f t="shared" si="0"/>
        <v/>
      </c>
    </row>
    <row r="60" spans="2:18" ht="15.6">
      <c r="B60" s="106">
        <f>B59+1</f>
        <v>19</v>
      </c>
      <c r="C60" s="103" t="s">
        <v>166</v>
      </c>
      <c r="D60" s="103" t="s">
        <v>125</v>
      </c>
      <c r="E60" s="109" cm="1">
        <f t="array" ref="E60">INDEX(N60:Q60,case_number)</f>
        <v>0.87601845454409977</v>
      </c>
      <c r="F60" s="109" cm="1">
        <f t="array" aca="1" ref="F60" ca="1">INDIRECT(sheet_name&amp;"!gap.h")</f>
        <v>0.87601845454410032</v>
      </c>
      <c r="G60" s="118">
        <f t="shared" ref="G60:G61" ca="1" si="2">(F60-E60)/E60</f>
        <v>6.3367559145939581E-16</v>
      </c>
      <c r="I60" s="144"/>
      <c r="J60" s="142"/>
      <c r="K60" s="143">
        <f>K59+1</f>
        <v>19</v>
      </c>
      <c r="L60" s="103" t="s">
        <v>166</v>
      </c>
      <c r="M60" s="103" t="s">
        <v>125</v>
      </c>
      <c r="N60" s="109">
        <v>0.87601845454409977</v>
      </c>
      <c r="O60" s="109">
        <v>1.6338216149415525</v>
      </c>
      <c r="P60" s="109">
        <v>2.6525058127308667</v>
      </c>
      <c r="Q60" s="109">
        <v>3.9552630780086151</v>
      </c>
      <c r="R60" t="str">
        <f t="shared" si="0"/>
        <v/>
      </c>
    </row>
    <row r="61" spans="2:18" ht="15.6">
      <c r="B61" s="106"/>
      <c r="C61" s="103" t="s">
        <v>165</v>
      </c>
      <c r="D61" s="103" t="s">
        <v>125</v>
      </c>
      <c r="E61" s="109" cm="1">
        <f t="array" ref="E61">INDEX(N61:Q61,case_number)</f>
        <v>0.87601845454409977</v>
      </c>
      <c r="F61" s="109" cm="1">
        <f t="array" aca="1" ref="F61" ca="1">INDIRECT(sheet_name&amp;"!gap.h")</f>
        <v>0.87601845454410032</v>
      </c>
      <c r="G61" s="118">
        <f t="shared" ca="1" si="2"/>
        <v>6.3367559145939581E-16</v>
      </c>
      <c r="H61" t="s">
        <v>164</v>
      </c>
      <c r="I61" s="144"/>
      <c r="J61" s="142"/>
      <c r="K61" s="143"/>
      <c r="L61" s="103" t="s">
        <v>165</v>
      </c>
      <c r="M61" s="103" t="s">
        <v>125</v>
      </c>
      <c r="N61" s="109">
        <v>0.87601845454409977</v>
      </c>
      <c r="O61" s="109">
        <v>1.6338216149415525</v>
      </c>
      <c r="P61" s="109">
        <v>2.6525058127308667</v>
      </c>
      <c r="Q61" s="109">
        <v>3.9552630780086151</v>
      </c>
      <c r="R61" t="str">
        <f t="shared" si="0"/>
        <v>Gap value used for calculation</v>
      </c>
    </row>
    <row r="62" spans="2:18">
      <c r="B62" s="106">
        <f>B60+1</f>
        <v>20</v>
      </c>
      <c r="C62" s="103" t="s">
        <v>163</v>
      </c>
      <c r="D62" s="103"/>
      <c r="E62" s="128"/>
      <c r="F62" s="128"/>
      <c r="G62" s="128"/>
      <c r="H62" t="s">
        <v>162</v>
      </c>
      <c r="I62" s="144"/>
      <c r="J62" s="142"/>
      <c r="K62" s="143">
        <f>K60+1</f>
        <v>20</v>
      </c>
      <c r="L62" s="103" t="s">
        <v>163</v>
      </c>
      <c r="M62" s="103"/>
      <c r="N62" s="128"/>
      <c r="O62" s="128"/>
      <c r="P62" s="128"/>
      <c r="Q62" s="128"/>
      <c r="R62" t="str">
        <f t="shared" si="0"/>
        <v>Gap shape formula</v>
      </c>
    </row>
    <row r="63" spans="2:18">
      <c r="B63" s="106">
        <f>B62+1</f>
        <v>21</v>
      </c>
      <c r="C63" s="112" t="s">
        <v>161</v>
      </c>
      <c r="D63" s="103"/>
      <c r="E63" s="128"/>
      <c r="F63" s="128"/>
      <c r="G63" s="128"/>
      <c r="H63" t="s">
        <v>160</v>
      </c>
      <c r="I63" s="145"/>
      <c r="J63" s="142"/>
      <c r="K63" s="143">
        <f>K62+1</f>
        <v>21</v>
      </c>
      <c r="L63" s="112" t="s">
        <v>161</v>
      </c>
      <c r="M63" s="103"/>
      <c r="N63" s="128"/>
      <c r="O63" s="128"/>
      <c r="P63" s="128"/>
      <c r="Q63" s="128"/>
      <c r="R63" t="str">
        <f t="shared" si="0"/>
        <v>Stress range formula</v>
      </c>
    </row>
    <row r="64" spans="2:18" ht="15.6">
      <c r="B64" s="106">
        <f>B63+1</f>
        <v>22</v>
      </c>
      <c r="C64" s="103" t="s">
        <v>159</v>
      </c>
      <c r="D64" s="103"/>
      <c r="E64" s="104"/>
      <c r="F64" s="104"/>
      <c r="G64" s="104"/>
      <c r="I64" s="144"/>
      <c r="J64" s="142"/>
      <c r="K64" s="143">
        <f>K63+1</f>
        <v>22</v>
      </c>
      <c r="L64" s="103" t="s">
        <v>159</v>
      </c>
      <c r="M64" s="103"/>
      <c r="N64" s="104"/>
      <c r="O64" s="104"/>
      <c r="P64" s="104"/>
      <c r="Q64" s="104"/>
      <c r="R64" t="str">
        <f t="shared" si="0"/>
        <v/>
      </c>
    </row>
    <row r="65" spans="2:18" ht="15.6">
      <c r="B65" s="106">
        <f>B64+1</f>
        <v>23</v>
      </c>
      <c r="C65" s="103" t="s">
        <v>158</v>
      </c>
      <c r="D65" s="103"/>
      <c r="E65" s="104"/>
      <c r="F65" s="104"/>
      <c r="G65" s="104"/>
      <c r="I65" s="144"/>
      <c r="J65" s="142"/>
      <c r="K65" s="143">
        <f>K64+1</f>
        <v>23</v>
      </c>
      <c r="L65" s="103" t="s">
        <v>158</v>
      </c>
      <c r="M65" s="103"/>
      <c r="N65" s="104"/>
      <c r="O65" s="104"/>
      <c r="P65" s="104"/>
      <c r="Q65" s="104"/>
      <c r="R65" t="str">
        <f t="shared" si="0"/>
        <v/>
      </c>
    </row>
    <row r="66" spans="2:18" ht="15.6">
      <c r="B66" s="106">
        <f>B65+1</f>
        <v>24</v>
      </c>
      <c r="C66" s="103" t="s">
        <v>157</v>
      </c>
      <c r="D66" s="103"/>
      <c r="E66" s="128"/>
      <c r="F66" s="128"/>
      <c r="G66" s="128"/>
      <c r="H66" t="s">
        <v>156</v>
      </c>
      <c r="I66" s="144"/>
      <c r="J66" s="142"/>
      <c r="K66" s="143">
        <f>K65+1</f>
        <v>24</v>
      </c>
      <c r="L66" s="103" t="s">
        <v>157</v>
      </c>
      <c r="M66" s="103"/>
      <c r="N66" s="128"/>
      <c r="O66" s="128"/>
      <c r="P66" s="128"/>
      <c r="Q66" s="128"/>
      <c r="R66" t="str">
        <f t="shared" si="0"/>
        <v>Summarized formula for bolt force curve</v>
      </c>
    </row>
    <row r="67" spans="2:18" ht="15.6">
      <c r="B67" s="106"/>
      <c r="C67" s="103" t="s">
        <v>315</v>
      </c>
      <c r="D67" s="103" t="s">
        <v>127</v>
      </c>
      <c r="E67" s="109" cm="1">
        <f t="array" ref="E67">INDEX(N67:Q67,case_number)</f>
        <v>-123.29166666666667</v>
      </c>
      <c r="F67" s="109" cm="1">
        <f t="array" aca="1" ref="F67" ca="1">INDIRECT(sheet_name&amp;"!Point1.Z")</f>
        <v>-123.29166666666667</v>
      </c>
      <c r="G67" s="118">
        <f t="shared" ref="G67" ca="1" si="3">(F67-E67)/E67</f>
        <v>0</v>
      </c>
      <c r="K67" s="106"/>
      <c r="L67" s="103" t="s">
        <v>315</v>
      </c>
      <c r="M67" s="103" t="s">
        <v>127</v>
      </c>
      <c r="N67" s="109">
        <v>-123.29166666666667</v>
      </c>
      <c r="O67" s="109">
        <v>-123.29166666666667</v>
      </c>
      <c r="P67" s="109">
        <v>-123.29166666666667</v>
      </c>
      <c r="Q67" s="109">
        <v>-123.29166666666667</v>
      </c>
    </row>
    <row r="68" spans="2:18" ht="15.6">
      <c r="B68" s="106"/>
      <c r="C68" s="103" t="s">
        <v>314</v>
      </c>
      <c r="D68" s="103" t="s">
        <v>127</v>
      </c>
      <c r="E68" s="107" cm="1">
        <f t="array" ref="E68">INDEX(N68:Q68,case_number)</f>
        <v>2876</v>
      </c>
      <c r="F68" s="107" cm="1">
        <f t="array" aca="1" ref="F68" ca="1">INDIRECT(sheet_name&amp;"!Point1.Fs")</f>
        <v>2876</v>
      </c>
      <c r="G68" s="118">
        <f t="shared" ref="G68:G72" ca="1" si="4">(F68-E68)/E68</f>
        <v>0</v>
      </c>
      <c r="K68" s="106"/>
      <c r="L68" s="103" t="s">
        <v>314</v>
      </c>
      <c r="M68" s="103" t="s">
        <v>127</v>
      </c>
      <c r="N68" s="109">
        <v>2876</v>
      </c>
      <c r="O68" s="109">
        <v>2876</v>
      </c>
      <c r="P68" s="109">
        <v>2876</v>
      </c>
      <c r="Q68" s="109">
        <v>2876</v>
      </c>
    </row>
    <row r="69" spans="2:18" ht="15.6">
      <c r="B69" s="106"/>
      <c r="C69" s="103" t="s">
        <v>313</v>
      </c>
      <c r="D69" s="103" t="s">
        <v>127</v>
      </c>
      <c r="E69" s="108" cm="1">
        <f t="array" ref="E69">INDEX(N69:Q69,case_number)</f>
        <v>2000.9202638759255</v>
      </c>
      <c r="F69" s="108" cm="1">
        <f t="array" aca="1" ref="F69" ca="1">INDIRECT(sheet_name&amp;"!Point2.Z")</f>
        <v>2000.9619972862092</v>
      </c>
      <c r="G69" s="118">
        <f t="shared" ca="1" si="4"/>
        <v>2.0857108120304573E-5</v>
      </c>
      <c r="K69" s="106"/>
      <c r="L69" s="103" t="s">
        <v>313</v>
      </c>
      <c r="M69" s="103" t="s">
        <v>127</v>
      </c>
      <c r="N69" s="109">
        <v>2000.9202638759255</v>
      </c>
      <c r="O69" s="109">
        <v>1696.4363831333353</v>
      </c>
      <c r="P69" s="109">
        <v>1595.2085396502491</v>
      </c>
      <c r="Q69" s="109">
        <v>1541.2016094157079</v>
      </c>
    </row>
    <row r="70" spans="2:18" ht="15.6">
      <c r="B70" s="106"/>
      <c r="C70" s="103" t="s">
        <v>312</v>
      </c>
      <c r="D70" s="103" t="s">
        <v>127</v>
      </c>
      <c r="E70" s="107" cm="1">
        <f t="array" ref="E70">INDEX(N70:Q70,case_number)</f>
        <v>3738.8</v>
      </c>
      <c r="F70" s="107" cm="1">
        <f t="array" aca="1" ref="F70" ca="1">INDIRECT(sheet_name&amp;"!Point2.Fs")</f>
        <v>3738.8</v>
      </c>
      <c r="G70" s="118">
        <f t="shared" ca="1" si="4"/>
        <v>0</v>
      </c>
      <c r="K70" s="106"/>
      <c r="L70" s="103" t="s">
        <v>312</v>
      </c>
      <c r="M70" s="103" t="s">
        <v>127</v>
      </c>
      <c r="N70" s="109">
        <v>3738.8</v>
      </c>
      <c r="O70" s="109">
        <v>3738.8</v>
      </c>
      <c r="P70" s="109">
        <v>3738.8</v>
      </c>
      <c r="Q70" s="109">
        <v>3738.8</v>
      </c>
    </row>
    <row r="71" spans="2:18" ht="15.6">
      <c r="B71" s="106"/>
      <c r="C71" s="103" t="s">
        <v>311</v>
      </c>
      <c r="D71" s="103" t="s">
        <v>127</v>
      </c>
      <c r="E71" s="107" cm="1">
        <f t="array" ref="E71">INDEX(N71:Q71,case_number)</f>
        <v>251.14925721102841</v>
      </c>
      <c r="F71" s="107" cm="1">
        <f t="array" aca="1" ref="F71" ca="1">INDIRECT(sheet_name&amp;"!Point3.Z")</f>
        <v>251.15459961508168</v>
      </c>
      <c r="G71" s="118">
        <f t="shared" ca="1" si="4"/>
        <v>2.1271829001577241E-5</v>
      </c>
      <c r="K71" s="106"/>
      <c r="L71" s="103" t="s">
        <v>311</v>
      </c>
      <c r="M71" s="103" t="s">
        <v>127</v>
      </c>
      <c r="N71" s="109">
        <v>251.14925721102841</v>
      </c>
      <c r="O71" s="109">
        <v>139.05186524303502</v>
      </c>
      <c r="P71" s="109">
        <v>121.69300747304081</v>
      </c>
      <c r="Q71" s="109">
        <v>114.91573803665135</v>
      </c>
    </row>
    <row r="72" spans="2:18" ht="15.6">
      <c r="B72" s="106"/>
      <c r="C72" s="103" t="s">
        <v>310</v>
      </c>
      <c r="D72" s="103" t="s">
        <v>127</v>
      </c>
      <c r="E72" s="107" cm="1">
        <f t="array" ref="E72">INDEX(N72:Q72,case_number)</f>
        <v>2939.9421878185444</v>
      </c>
      <c r="F72" s="107" cm="1">
        <f t="array" aca="1" ref="F72" ca="1">INDIRECT(sheet_name&amp;"!Point3.Fs")</f>
        <v>2939.9408906954832</v>
      </c>
      <c r="G72" s="118">
        <f t="shared" ca="1" si="4"/>
        <v>-4.4120699605041146E-7</v>
      </c>
      <c r="K72" s="106"/>
      <c r="L72" s="103" t="s">
        <v>310</v>
      </c>
      <c r="M72" s="103" t="s">
        <v>127</v>
      </c>
      <c r="N72" s="109">
        <v>2939.9421878185444</v>
      </c>
      <c r="O72" s="109">
        <v>2920.7996421348157</v>
      </c>
      <c r="P72" s="109">
        <v>2917.835320467329</v>
      </c>
      <c r="Q72" s="109">
        <v>2916.677985871765</v>
      </c>
    </row>
    <row r="73" spans="2:18" ht="15.6">
      <c r="B73" s="106"/>
      <c r="C73" s="103" t="s">
        <v>309</v>
      </c>
      <c r="D73" s="103"/>
      <c r="E73" s="107" cm="1">
        <f t="array" ref="E73">INDEX(N73:Q73,case_number)</f>
        <v>1391753646.6838758</v>
      </c>
      <c r="F73" s="110" t="s">
        <v>85</v>
      </c>
      <c r="G73" s="110"/>
      <c r="K73" s="106"/>
      <c r="L73" s="103" t="s">
        <v>309</v>
      </c>
      <c r="M73" s="103"/>
      <c r="N73" s="110">
        <v>1391753646.6838758</v>
      </c>
      <c r="O73" s="110">
        <v>743485843.40941381</v>
      </c>
      <c r="P73" s="110">
        <v>620359194.07754183</v>
      </c>
      <c r="Q73" s="110">
        <v>565514679.49266434</v>
      </c>
    </row>
    <row r="74" spans="2:18" ht="15.6">
      <c r="B74" s="106"/>
      <c r="C74" s="103" t="s">
        <v>308</v>
      </c>
      <c r="D74" s="103"/>
      <c r="E74" s="107" cm="1">
        <f t="array" ref="E74">INDEX(N74:Q74,case_number)</f>
        <v>187240.87089252812</v>
      </c>
      <c r="F74" s="111" t="s">
        <v>85</v>
      </c>
      <c r="G74" s="111"/>
      <c r="K74" s="106"/>
      <c r="L74" s="103" t="s">
        <v>308</v>
      </c>
      <c r="M74" s="103"/>
      <c r="N74" s="111">
        <v>187240.87089252812</v>
      </c>
      <c r="O74" s="111">
        <v>144826.83391796448</v>
      </c>
      <c r="P74" s="111">
        <v>139478.76999330049</v>
      </c>
      <c r="Q74" s="111">
        <v>137817.1148098961</v>
      </c>
    </row>
    <row r="75" spans="2:18" ht="15.6">
      <c r="B75" s="106"/>
      <c r="C75" s="103" t="s">
        <v>307</v>
      </c>
      <c r="D75" s="103"/>
      <c r="E75" s="107" cm="1">
        <f t="array" ref="E75">INDEX(N75:Q75,case_number)</f>
        <v>213725556.87489808</v>
      </c>
      <c r="F75" s="111" t="s">
        <v>85</v>
      </c>
      <c r="G75" s="111"/>
      <c r="K75" s="106"/>
      <c r="L75" s="103" t="s">
        <v>307</v>
      </c>
      <c r="M75" s="103"/>
      <c r="N75" s="111">
        <v>213725556.87489808</v>
      </c>
      <c r="O75" s="111">
        <v>124680416.00301333</v>
      </c>
      <c r="P75" s="111">
        <v>106159914.78843617</v>
      </c>
      <c r="Q75" s="111">
        <v>97725643.802408978</v>
      </c>
    </row>
    <row r="76" spans="2:18" ht="15.6">
      <c r="B76" s="106"/>
      <c r="C76" s="105" t="s">
        <v>306</v>
      </c>
      <c r="D76" s="103"/>
      <c r="E76" s="146" cm="1">
        <f t="array" ref="E76">INDEX(N76:Q76,case_number)</f>
        <v>1.3453592978805262E-4</v>
      </c>
      <c r="F76" s="146" cm="1">
        <f t="array" aca="1" ref="F76" ca="1">INDIRECT(sheet_name&amp;"!Fs_coeff.tens.2")*1000</f>
        <v>1.3453194356000459E-4</v>
      </c>
      <c r="G76" s="118">
        <f t="shared" ref="G76:G78" ca="1" si="5">(F76-E76)/E76</f>
        <v>-2.962946816001108E-5</v>
      </c>
      <c r="K76" s="106"/>
      <c r="L76" s="105" t="s">
        <v>306</v>
      </c>
      <c r="M76" s="103"/>
      <c r="N76" s="150">
        <v>1.3453592978805262E-4</v>
      </c>
      <c r="O76" s="150">
        <v>1.9479433966601163E-4</v>
      </c>
      <c r="P76" s="150">
        <v>2.2483550066619361E-4</v>
      </c>
      <c r="Q76" s="150">
        <v>2.4370209971124864E-4</v>
      </c>
    </row>
    <row r="77" spans="2:18" ht="15.6">
      <c r="B77" s="106"/>
      <c r="C77" s="105" t="s">
        <v>305</v>
      </c>
      <c r="D77" s="103"/>
      <c r="E77" s="146" cm="1">
        <f t="array" ref="E77">INDEX(N77:Q77,case_number)</f>
        <v>0.15356565250189275</v>
      </c>
      <c r="F77" s="146" cm="1">
        <f t="array" aca="1" ref="F77" ca="1">INDIRECT(sheet_name&amp;"!Fs_coeff.tens.1")</f>
        <v>0.15355954292157073</v>
      </c>
      <c r="G77" s="118">
        <f t="shared" ca="1" si="5"/>
        <v>-3.9784810095743922E-5</v>
      </c>
      <c r="K77" s="106"/>
      <c r="L77" s="105" t="s">
        <v>305</v>
      </c>
      <c r="M77" s="103"/>
      <c r="N77" s="150">
        <v>0.15356565250189275</v>
      </c>
      <c r="O77" s="150">
        <v>0.16769709485155029</v>
      </c>
      <c r="P77" s="150">
        <v>0.17112652766643241</v>
      </c>
      <c r="Q77" s="150">
        <v>0.17280832372040422</v>
      </c>
    </row>
    <row r="78" spans="2:18" ht="14.4">
      <c r="B78" s="106"/>
      <c r="C78" s="112" t="s">
        <v>304</v>
      </c>
      <c r="D78" s="103"/>
      <c r="E78" s="108" cm="1">
        <f t="array" ref="E78">INDEX(N78:Q78,case_number)</f>
        <v>2892.88830676009</v>
      </c>
      <c r="F78" s="107" cm="1">
        <f t="array" aca="1" ref="F78" ca="1">INDIRECT(sheet_name&amp;"!Fs_coeff.tens.0")/1000</f>
        <v>2892.8876140937446</v>
      </c>
      <c r="G78" s="118">
        <f t="shared" ca="1" si="5"/>
        <v>-2.3943763879138282E-7</v>
      </c>
      <c r="K78" s="106"/>
      <c r="L78" s="112" t="s">
        <v>304</v>
      </c>
      <c r="M78" s="103"/>
      <c r="N78" s="108">
        <v>2892.88830676009</v>
      </c>
      <c r="O78" s="108">
        <v>2893.7146176896813</v>
      </c>
      <c r="P78" s="108">
        <v>2893.6807874434912</v>
      </c>
      <c r="Q78" s="108">
        <v>2893.6013508215733</v>
      </c>
    </row>
    <row r="79" spans="2:18" ht="15.6">
      <c r="B79" s="106">
        <f>B66+1</f>
        <v>25</v>
      </c>
      <c r="C79" s="105" t="s">
        <v>155</v>
      </c>
      <c r="D79" s="103" t="s">
        <v>127</v>
      </c>
      <c r="E79" s="107" cm="1">
        <f t="array" ref="E79">INDEX(N79:Q79,case_number)</f>
        <v>1244.3580111747735</v>
      </c>
      <c r="F79" s="107" cm="1">
        <f t="array" aca="1" ref="F79" ca="1">-INDIRECT(sheet_name&amp;"!DZ_gap")</f>
        <v>1244.3583528535567</v>
      </c>
      <c r="G79" s="118">
        <f ca="1">(F79-E79)/E79</f>
        <v>2.7458237906393814E-7</v>
      </c>
      <c r="I79" s="139"/>
      <c r="K79" s="106">
        <f>K66+1</f>
        <v>25</v>
      </c>
      <c r="L79" s="105" t="s">
        <v>155</v>
      </c>
      <c r="M79" s="103" t="s">
        <v>127</v>
      </c>
      <c r="N79" s="107">
        <v>1244.3580111747735</v>
      </c>
      <c r="O79" s="107">
        <v>806.61559168592612</v>
      </c>
      <c r="P79" s="107">
        <v>712.67155159683637</v>
      </c>
      <c r="Q79" s="107">
        <v>681.32565393551567</v>
      </c>
      <c r="R79" t="str">
        <f t="shared" ref="R79:R120" si="6">IF(H79&lt;&gt;"",H79,"")</f>
        <v/>
      </c>
    </row>
    <row r="80" spans="2:18" ht="15.6">
      <c r="B80" s="106"/>
      <c r="C80" s="103" t="s">
        <v>144</v>
      </c>
      <c r="D80" s="103" t="s">
        <v>143</v>
      </c>
      <c r="E80" s="111" cm="1">
        <f t="array" ref="E80">INDEX(N80:Q80,case_number)</f>
        <v>37149.333128699305</v>
      </c>
      <c r="F80" s="111" t="s">
        <v>85</v>
      </c>
      <c r="G80" s="111"/>
      <c r="I80" s="138"/>
      <c r="K80" s="106"/>
      <c r="L80" s="103" t="s">
        <v>144</v>
      </c>
      <c r="M80" s="103" t="s">
        <v>143</v>
      </c>
      <c r="N80" s="111">
        <v>37149.333128699305</v>
      </c>
      <c r="O80" s="111">
        <v>37149.333128699305</v>
      </c>
      <c r="P80" s="111">
        <v>37149.333128699305</v>
      </c>
      <c r="Q80" s="111">
        <v>37149.333128699305</v>
      </c>
      <c r="R80" t="str">
        <f t="shared" si="6"/>
        <v/>
      </c>
    </row>
    <row r="81" spans="2:18" ht="16.8">
      <c r="B81" s="106"/>
      <c r="C81" s="103" t="s">
        <v>142</v>
      </c>
      <c r="D81" s="103" t="s">
        <v>273</v>
      </c>
      <c r="E81" s="114" cm="1">
        <f t="array" ref="E81">INDEX(N81:Q81,case_number)</f>
        <v>123831110.42899768</v>
      </c>
      <c r="F81" s="114" cm="1">
        <f t="array" aca="1" ref="F81" ca="1">INDIRECT(sheet_name&amp;"!I_tg")</f>
        <v>123831110.42899768</v>
      </c>
      <c r="G81" s="118">
        <f t="shared" ref="G81:G83" ca="1" si="7">(F81-E81)/E81</f>
        <v>0</v>
      </c>
      <c r="I81" s="138"/>
      <c r="K81" s="106"/>
      <c r="L81" s="103" t="s">
        <v>142</v>
      </c>
      <c r="M81" s="103" t="s">
        <v>273</v>
      </c>
      <c r="N81" s="149">
        <v>123831110.42899768</v>
      </c>
      <c r="O81" s="149">
        <v>123831110.42899768</v>
      </c>
      <c r="P81" s="149">
        <v>123831110.42899768</v>
      </c>
      <c r="Q81" s="149">
        <v>123831110.42899768</v>
      </c>
      <c r="R81" t="str">
        <f t="shared" si="6"/>
        <v/>
      </c>
    </row>
    <row r="82" spans="2:18" ht="15.6">
      <c r="B82" s="106"/>
      <c r="C82" s="103" t="s">
        <v>148</v>
      </c>
      <c r="D82" s="103" t="s">
        <v>143</v>
      </c>
      <c r="E82" s="111" cm="1">
        <f t="array" ref="E82">INDEX(N82:Q82,case_number)</f>
        <v>87000</v>
      </c>
      <c r="F82" s="111" cm="1">
        <f t="array" aca="1" ref="F82" ca="1">INDIRECT(sheet_name&amp;"!flange.A_cf")</f>
        <v>87000.000000000029</v>
      </c>
      <c r="G82" s="118">
        <f t="shared" ca="1" si="7"/>
        <v>3.3452678685900808E-16</v>
      </c>
      <c r="I82" s="138"/>
      <c r="K82" s="106"/>
      <c r="L82" s="103" t="s">
        <v>148</v>
      </c>
      <c r="M82" s="103" t="s">
        <v>143</v>
      </c>
      <c r="N82" s="111">
        <v>87000</v>
      </c>
      <c r="O82" s="111">
        <v>87000</v>
      </c>
      <c r="P82" s="111">
        <v>87000</v>
      </c>
      <c r="Q82" s="111">
        <v>87000</v>
      </c>
      <c r="R82" t="str">
        <f t="shared" si="6"/>
        <v/>
      </c>
    </row>
    <row r="83" spans="2:18" ht="16.8">
      <c r="B83" s="106"/>
      <c r="C83" s="103" t="s">
        <v>147</v>
      </c>
      <c r="D83" s="103" t="s">
        <v>273</v>
      </c>
      <c r="E83" s="114" cm="1">
        <f t="array" ref="E83">INDEX(N83:Q83,case_number)</f>
        <v>290000000</v>
      </c>
      <c r="F83" s="114" cm="1">
        <f t="array" aca="1" ref="F83" ca="1">INDIRECT(sheet_name&amp;"!flange.I_cf")</f>
        <v>290000000.00000006</v>
      </c>
      <c r="G83" s="118">
        <f t="shared" ca="1" si="7"/>
        <v>2.0553325784617456E-16</v>
      </c>
      <c r="I83" s="138"/>
      <c r="K83" s="106"/>
      <c r="L83" s="103" t="s">
        <v>147</v>
      </c>
      <c r="M83" s="103" t="s">
        <v>273</v>
      </c>
      <c r="N83" s="149">
        <v>290000000</v>
      </c>
      <c r="O83" s="149">
        <v>290000000</v>
      </c>
      <c r="P83" s="149">
        <v>290000000</v>
      </c>
      <c r="Q83" s="149">
        <v>290000000</v>
      </c>
      <c r="R83" t="str">
        <f t="shared" si="6"/>
        <v/>
      </c>
    </row>
    <row r="84" spans="2:18" ht="15.6">
      <c r="B84" s="106">
        <f>B79+1</f>
        <v>26</v>
      </c>
      <c r="C84" s="103" t="s">
        <v>154</v>
      </c>
      <c r="D84" s="103" t="s">
        <v>134</v>
      </c>
      <c r="E84" s="111" cm="1">
        <f t="array" ref="E84">INDEX(N84:Q84,case_number)</f>
        <v>14636.622779298261</v>
      </c>
      <c r="F84" s="111" cm="1">
        <f t="array" aca="1" ref="F84" ca="1">INDIRECT(sheet_name&amp;"!gap.stiffness")</f>
        <v>14636.626798256961</v>
      </c>
      <c r="G84" s="118">
        <f ca="1">(F84-E84)/E84</f>
        <v>2.7458237876438642E-7</v>
      </c>
      <c r="I84" s="138"/>
      <c r="K84" s="106">
        <f>K79+1</f>
        <v>26</v>
      </c>
      <c r="L84" s="103" t="s">
        <v>154</v>
      </c>
      <c r="M84" s="103" t="s">
        <v>134</v>
      </c>
      <c r="N84" s="111">
        <v>14636.622779298261</v>
      </c>
      <c r="O84" s="111">
        <v>5087.1057121717786</v>
      </c>
      <c r="P84" s="111">
        <v>2768.4830316768875</v>
      </c>
      <c r="Q84" s="111">
        <v>1774.9582977160969</v>
      </c>
      <c r="R84" t="str">
        <f t="shared" si="6"/>
        <v/>
      </c>
    </row>
    <row r="85" spans="2:18" ht="15.6">
      <c r="B85" s="106">
        <f>B84+1</f>
        <v>27</v>
      </c>
      <c r="C85" s="103" t="s">
        <v>151</v>
      </c>
      <c r="D85" s="103" t="s">
        <v>134</v>
      </c>
      <c r="E85" s="111" cm="1">
        <f t="array" ref="E85">INDEX(N85:Q85,case_number)</f>
        <v>4797.9387029107638</v>
      </c>
      <c r="F85" s="111" t="s">
        <v>85</v>
      </c>
      <c r="G85" s="111"/>
      <c r="H85" t="s">
        <v>153</v>
      </c>
      <c r="I85" s="138"/>
      <c r="K85" s="106">
        <f>K84+1</f>
        <v>27</v>
      </c>
      <c r="L85" s="103" t="s">
        <v>151</v>
      </c>
      <c r="M85" s="103" t="s">
        <v>134</v>
      </c>
      <c r="N85" s="111">
        <v>4797.9387029107638</v>
      </c>
      <c r="O85" s="111">
        <v>2010.5727094753945</v>
      </c>
      <c r="P85" s="111">
        <v>1058.7224915491406</v>
      </c>
      <c r="Q85" s="111">
        <v>594.89447044033909</v>
      </c>
      <c r="R85" t="str">
        <f t="shared" si="6"/>
        <v>Interpolated value</v>
      </c>
    </row>
    <row r="86" spans="2:18" ht="15.6">
      <c r="B86" s="106"/>
      <c r="C86" s="103" t="s">
        <v>151</v>
      </c>
      <c r="D86" s="103" t="s">
        <v>134</v>
      </c>
      <c r="E86" s="111" cm="1">
        <f t="array" ref="E86">INDEX(N86:Q86,case_number)</f>
        <v>5169.2082946490964</v>
      </c>
      <c r="F86" s="111" cm="1">
        <f t="array" aca="1" ref="F86" ca="1">INDIRECT(sheet_name&amp;"!gap.k_shell")</f>
        <v>5169.2082946490964</v>
      </c>
      <c r="G86" s="118">
        <f ca="1">(F86-E86)/E86</f>
        <v>0</v>
      </c>
      <c r="H86" t="s">
        <v>152</v>
      </c>
      <c r="I86" s="138"/>
      <c r="K86" s="106"/>
      <c r="L86" s="103" t="s">
        <v>151</v>
      </c>
      <c r="M86" s="103" t="s">
        <v>134</v>
      </c>
      <c r="N86" s="111">
        <v>5169.2082946490964</v>
      </c>
      <c r="O86" s="111">
        <v>2212.1093218994611</v>
      </c>
      <c r="P86" s="111">
        <v>1238.3066227426382</v>
      </c>
      <c r="Q86" s="111">
        <v>800.4072256196913</v>
      </c>
      <c r="R86" t="str">
        <f t="shared" si="6"/>
        <v>Simplified formula</v>
      </c>
    </row>
    <row r="87" spans="2:18" ht="15.6">
      <c r="B87" s="106"/>
      <c r="C87" s="103" t="s">
        <v>151</v>
      </c>
      <c r="D87" s="103" t="s">
        <v>134</v>
      </c>
      <c r="E87" s="111" cm="1">
        <f t="array" ref="E87">INDEX(N87:Q87,case_number)</f>
        <v>5169.2082946490964</v>
      </c>
      <c r="F87" s="111" cm="1">
        <f t="array" aca="1" ref="F87" ca="1">INDIRECT(sheet_name&amp;"!gap.k_shell")</f>
        <v>5169.2082946490964</v>
      </c>
      <c r="G87" s="118">
        <f ca="1">(F87-E87)/E87</f>
        <v>0</v>
      </c>
      <c r="H87" t="s">
        <v>150</v>
      </c>
      <c r="I87" s="138"/>
      <c r="K87" s="106"/>
      <c r="L87" s="103" t="s">
        <v>151</v>
      </c>
      <c r="M87" s="103" t="s">
        <v>134</v>
      </c>
      <c r="N87" s="111">
        <v>5169.2082946490964</v>
      </c>
      <c r="O87" s="111">
        <v>2212.1093218994611</v>
      </c>
      <c r="P87" s="111">
        <v>1238.3066227426382</v>
      </c>
      <c r="Q87" s="111">
        <v>800.4072256196913</v>
      </c>
      <c r="R87" t="str">
        <f t="shared" si="6"/>
        <v>Value used</v>
      </c>
    </row>
    <row r="88" spans="2:18" ht="15.6">
      <c r="B88" s="106">
        <f>B85+1</f>
        <v>28</v>
      </c>
      <c r="C88" s="103" t="s">
        <v>149</v>
      </c>
      <c r="D88" s="103" t="s">
        <v>122</v>
      </c>
      <c r="E88" s="109" cm="1">
        <f t="array" ref="E88">INDEX(N88:Q88,case_number)</f>
        <v>1.8</v>
      </c>
      <c r="F88" s="109" cm="1">
        <f t="array" aca="1" ref="F88" ca="1">INDIRECT(sheet_name&amp;"!gap.k_fac")</f>
        <v>1.8</v>
      </c>
      <c r="G88" s="118">
        <f ca="1">(F88-E88)/E88</f>
        <v>0</v>
      </c>
      <c r="I88" s="138"/>
      <c r="K88" s="106">
        <f>K85+1</f>
        <v>28</v>
      </c>
      <c r="L88" s="103" t="s">
        <v>149</v>
      </c>
      <c r="M88" s="103" t="s">
        <v>122</v>
      </c>
      <c r="N88" s="109">
        <v>1.8</v>
      </c>
      <c r="O88" s="109">
        <v>2.1031001583544837</v>
      </c>
      <c r="P88" s="109">
        <v>2.5046502375317257</v>
      </c>
      <c r="Q88" s="109">
        <v>2.9062003167089676</v>
      </c>
      <c r="R88" t="str">
        <f t="shared" si="6"/>
        <v/>
      </c>
    </row>
    <row r="89" spans="2:18" ht="15.6">
      <c r="B89" s="106">
        <f>B88+1</f>
        <v>29</v>
      </c>
      <c r="C89" s="103" t="s">
        <v>146</v>
      </c>
      <c r="D89" s="103" t="s">
        <v>134</v>
      </c>
      <c r="E89" s="107" cm="1">
        <f t="array" ref="E89">INDEX(N89:Q89,case_number)</f>
        <v>1483.8020595773849</v>
      </c>
      <c r="F89" s="107" cm="1">
        <f t="array" aca="1" ref="F89" ca="1">INDIRECT(sheet_name&amp;"!gap.k_fl")</f>
        <v>1483.8038863767938</v>
      </c>
      <c r="G89" s="118">
        <f ca="1">(F89-E89)/E89</f>
        <v>1.2311611223035349E-6</v>
      </c>
      <c r="I89" s="138"/>
      <c r="K89" s="106">
        <f>K88+1</f>
        <v>29</v>
      </c>
      <c r="L89" s="103" t="s">
        <v>146</v>
      </c>
      <c r="M89" s="103" t="s">
        <v>134</v>
      </c>
      <c r="N89" s="107">
        <v>1483.8020595773849</v>
      </c>
      <c r="O89" s="107">
        <v>100.21145636043828</v>
      </c>
      <c r="P89" s="107">
        <v>20.094755292310523</v>
      </c>
      <c r="Q89" s="107">
        <v>6.3920006148981718</v>
      </c>
      <c r="R89" t="str">
        <f t="shared" si="6"/>
        <v/>
      </c>
    </row>
    <row r="90" spans="2:18" ht="15.6">
      <c r="B90" s="106">
        <f>B89+1</f>
        <v>30</v>
      </c>
      <c r="C90" s="105" t="s">
        <v>145</v>
      </c>
      <c r="D90" s="103" t="s">
        <v>127</v>
      </c>
      <c r="E90" s="110" cm="1">
        <f t="array" ref="E90">INDEX(N90:Q90,case_number)</f>
        <v>549.79614201309175</v>
      </c>
      <c r="F90" s="110" t="s">
        <v>85</v>
      </c>
      <c r="G90" s="104"/>
      <c r="H90" t="s">
        <v>302</v>
      </c>
      <c r="I90" s="139"/>
      <c r="K90" s="106">
        <f>K89+1</f>
        <v>30</v>
      </c>
      <c r="L90" s="105" t="s">
        <v>145</v>
      </c>
      <c r="M90" s="103" t="s">
        <v>127</v>
      </c>
      <c r="N90" s="107">
        <v>549.79614201309175</v>
      </c>
      <c r="O90" s="107">
        <v>572.34578129959584</v>
      </c>
      <c r="P90" s="107">
        <v>577.93880888131434</v>
      </c>
      <c r="Q90" s="107">
        <v>579.62119250410046</v>
      </c>
      <c r="R90" t="str">
        <f t="shared" si="6"/>
        <v>(valid in case T-Flange is calculated)</v>
      </c>
    </row>
    <row r="91" spans="2:18" ht="15.6">
      <c r="B91" s="106">
        <f>B90+1</f>
        <v>31</v>
      </c>
      <c r="C91" s="103" t="s">
        <v>141</v>
      </c>
      <c r="D91" s="103" t="s">
        <v>127</v>
      </c>
      <c r="E91" s="110" cm="1">
        <f t="array" ref="E91">INDEX(N91:Q91,case_number)</f>
        <v>431.02794916761809</v>
      </c>
      <c r="F91" s="110" t="s">
        <v>85</v>
      </c>
      <c r="G91" s="104"/>
      <c r="H91" t="s">
        <v>302</v>
      </c>
      <c r="I91" s="138"/>
      <c r="K91" s="106">
        <f>K90+1</f>
        <v>31</v>
      </c>
      <c r="L91" s="103" t="s">
        <v>141</v>
      </c>
      <c r="M91" s="103" t="s">
        <v>127</v>
      </c>
      <c r="N91" s="107">
        <v>431.02794916761809</v>
      </c>
      <c r="O91" s="107">
        <v>330.74852994509934</v>
      </c>
      <c r="P91" s="107">
        <v>305.87604526965976</v>
      </c>
      <c r="Q91" s="107">
        <v>298.39439776040422</v>
      </c>
      <c r="R91" t="str">
        <f t="shared" si="6"/>
        <v>(valid in case T-Flange is calculated)</v>
      </c>
    </row>
    <row r="92" spans="2:18" ht="15.6">
      <c r="B92" s="106"/>
      <c r="C92" s="105" t="s">
        <v>140</v>
      </c>
      <c r="D92" s="103" t="s">
        <v>127</v>
      </c>
      <c r="E92" s="110" cm="1">
        <f t="array" ref="E92">INDEX(N92:Q92,case_number)</f>
        <v>0</v>
      </c>
      <c r="F92" s="110" cm="1">
        <f t="array" aca="1" ref="F92" ca="1">INDIRECT(sheet_name&amp;"!DZ_gap_inclination")</f>
        <v>0</v>
      </c>
      <c r="G92" s="118">
        <f ca="1">IF(AND(E92=0,F92=0), 0, (F92-E92)/E92)</f>
        <v>0</v>
      </c>
      <c r="H92" t="str">
        <f>"Inclination used: "&amp;E92&amp;"deg"</f>
        <v>Inclination used: 0deg</v>
      </c>
      <c r="I92" s="139"/>
      <c r="K92" s="106"/>
      <c r="L92" s="105" t="s">
        <v>140</v>
      </c>
      <c r="M92" s="103" t="s">
        <v>127</v>
      </c>
      <c r="N92" s="108">
        <v>0</v>
      </c>
      <c r="O92" s="108">
        <v>0</v>
      </c>
      <c r="P92" s="108">
        <v>0</v>
      </c>
      <c r="Q92" s="108">
        <v>0</v>
      </c>
      <c r="R92" t="str">
        <f t="shared" si="6"/>
        <v>Inclination used: 0deg</v>
      </c>
    </row>
    <row r="93" spans="2:18" ht="15.6">
      <c r="B93" s="106">
        <f>B91+1</f>
        <v>32</v>
      </c>
      <c r="C93" s="105" t="s">
        <v>139</v>
      </c>
      <c r="D93" s="103" t="s">
        <v>127</v>
      </c>
      <c r="E93" s="107" cm="1">
        <f t="array" ref="E93">INDEX(N93:Q93,case_number)</f>
        <v>1794.1541531878652</v>
      </c>
      <c r="F93" s="107" cm="1">
        <f t="array" aca="1" ref="F93" ca="1">-INDIRECT(sheet_name&amp;"!DZ_gap_tot")</f>
        <v>1244.3583528535567</v>
      </c>
      <c r="G93" s="107"/>
      <c r="I93" s="139"/>
      <c r="K93" s="106">
        <f>K91+1</f>
        <v>32</v>
      </c>
      <c r="L93" s="105" t="s">
        <v>139</v>
      </c>
      <c r="M93" s="103" t="s">
        <v>127</v>
      </c>
      <c r="N93" s="107">
        <v>1794.1541531878652</v>
      </c>
      <c r="O93" s="107">
        <v>1378.9613729855218</v>
      </c>
      <c r="P93" s="107">
        <v>1290.6103604781506</v>
      </c>
      <c r="Q93" s="107">
        <v>1260.9468464396161</v>
      </c>
      <c r="R93" t="str">
        <f t="shared" si="6"/>
        <v/>
      </c>
    </row>
    <row r="94" spans="2:18" ht="15.6">
      <c r="B94" s="106">
        <f>B93+1</f>
        <v>33</v>
      </c>
      <c r="C94" s="103" t="s">
        <v>138</v>
      </c>
      <c r="D94" s="103" t="s">
        <v>127</v>
      </c>
      <c r="E94" s="107" cm="1">
        <f t="array" ref="E94">INDEX(N94:Q94,case_number)</f>
        <v>3595</v>
      </c>
      <c r="F94" s="107" t="s">
        <v>85</v>
      </c>
      <c r="G94" s="118"/>
      <c r="I94" s="138"/>
      <c r="K94" s="106">
        <f>K93+1</f>
        <v>33</v>
      </c>
      <c r="L94" s="103" t="s">
        <v>138</v>
      </c>
      <c r="M94" s="103" t="s">
        <v>127</v>
      </c>
      <c r="N94" s="107">
        <v>3595</v>
      </c>
      <c r="O94" s="107">
        <v>3595</v>
      </c>
      <c r="P94" s="107">
        <v>3595</v>
      </c>
      <c r="Q94" s="107">
        <v>3595</v>
      </c>
      <c r="R94" t="str">
        <f t="shared" si="6"/>
        <v/>
      </c>
    </row>
    <row r="95" spans="2:18" ht="15.6">
      <c r="B95" s="106">
        <f>B94+1</f>
        <v>34</v>
      </c>
      <c r="C95" s="103" t="s">
        <v>137</v>
      </c>
      <c r="D95" s="103" t="s">
        <v>127</v>
      </c>
      <c r="E95" s="108" cm="1">
        <f t="array" ref="E95">INDEX(N95:Q95,case_number)</f>
        <v>2068.2520235998149</v>
      </c>
      <c r="F95" s="108" cm="1">
        <f t="array" aca="1" ref="F95" ca="1">INDIRECT(sheet_name&amp;"!Z0")</f>
        <v>2068.2520235998149</v>
      </c>
      <c r="G95" s="118">
        <f ca="1">(F95-E95)/E95</f>
        <v>0</v>
      </c>
      <c r="H95" t="s">
        <v>303</v>
      </c>
      <c r="I95" s="138"/>
      <c r="K95" s="106">
        <f>K94+1</f>
        <v>34</v>
      </c>
      <c r="L95" s="103" t="s">
        <v>137</v>
      </c>
      <c r="M95" s="103" t="s">
        <v>127</v>
      </c>
      <c r="N95" s="107">
        <v>2068.2520235998149</v>
      </c>
      <c r="O95" s="107">
        <v>2068.2520235998149</v>
      </c>
      <c r="P95" s="107">
        <v>2068.2520235998149</v>
      </c>
      <c r="Q95" s="107">
        <v>2068.2520235998149</v>
      </c>
      <c r="R95" t="str">
        <f t="shared" si="6"/>
        <v>(valid in case L-Flange is calculated)</v>
      </c>
    </row>
    <row r="96" spans="2:18" ht="15.6">
      <c r="B96" s="106">
        <f>B95+1</f>
        <v>35</v>
      </c>
      <c r="C96" s="103" t="s">
        <v>137</v>
      </c>
      <c r="D96" s="103" t="s">
        <v>127</v>
      </c>
      <c r="E96" s="110" cm="1">
        <f t="array" ref="E96">INDEX(N96:Q96,case_number)</f>
        <v>2068.2520235998149</v>
      </c>
      <c r="F96" s="110" t="s">
        <v>85</v>
      </c>
      <c r="G96" s="104"/>
      <c r="H96" t="s">
        <v>302</v>
      </c>
      <c r="I96" s="138"/>
      <c r="K96" s="106">
        <f>K95+1</f>
        <v>35</v>
      </c>
      <c r="L96" s="103" t="s">
        <v>137</v>
      </c>
      <c r="M96" s="103" t="s">
        <v>127</v>
      </c>
      <c r="N96" s="108">
        <v>2068.2520235998149</v>
      </c>
      <c r="O96" s="108">
        <v>2068.2520235998149</v>
      </c>
      <c r="P96" s="108">
        <v>2068.2520235998149</v>
      </c>
      <c r="Q96" s="108">
        <v>2068.2520235998149</v>
      </c>
      <c r="R96" t="str">
        <f t="shared" si="6"/>
        <v>(valid in case T-Flange is calculated)</v>
      </c>
    </row>
    <row r="97" spans="2:18" ht="15.6">
      <c r="B97" s="106">
        <f>B96+1</f>
        <v>36</v>
      </c>
      <c r="C97" s="105" t="s">
        <v>136</v>
      </c>
      <c r="D97" s="103" t="s">
        <v>122</v>
      </c>
      <c r="E97" s="109" cm="1">
        <f t="array" ref="E97">INDEX(N97:Q97,case_number)</f>
        <v>2.4286136732398829</v>
      </c>
      <c r="F97" s="109" cm="1">
        <f t="array" aca="1" ref="F97" ca="1">INDIRECT(sheet_name&amp;"!stiffness_correction_factor")</f>
        <v>2.4286653342946511</v>
      </c>
      <c r="G97" s="118">
        <f ca="1">(F97-E97)/E97</f>
        <v>2.1271829001672139E-5</v>
      </c>
      <c r="I97" s="139"/>
      <c r="K97" s="106">
        <f>K96+1</f>
        <v>36</v>
      </c>
      <c r="L97" s="105" t="s">
        <v>136</v>
      </c>
      <c r="M97" s="103" t="s">
        <v>122</v>
      </c>
      <c r="N97" s="109">
        <v>2.4286136732398829</v>
      </c>
      <c r="O97" s="109">
        <v>1.3446317340090279</v>
      </c>
      <c r="P97" s="109">
        <v>1.176771554766646</v>
      </c>
      <c r="Q97" s="109">
        <v>1.1112353497098411</v>
      </c>
      <c r="R97" t="str">
        <f t="shared" si="6"/>
        <v/>
      </c>
    </row>
    <row r="98" spans="2:18">
      <c r="B98" s="106"/>
      <c r="C98" s="105" t="s">
        <v>272</v>
      </c>
      <c r="D98" s="103" t="s">
        <v>125</v>
      </c>
      <c r="E98" s="107" cm="1">
        <f t="array" ref="E98">INDEX(N98:Q98,case_number)</f>
        <v>194.0980661142894</v>
      </c>
      <c r="F98" s="107" t="s">
        <v>85</v>
      </c>
      <c r="G98" s="118"/>
      <c r="I98" s="139"/>
      <c r="K98" s="106"/>
      <c r="L98" s="105" t="s">
        <v>272</v>
      </c>
      <c r="M98" s="103" t="s">
        <v>125</v>
      </c>
      <c r="N98" s="107">
        <v>194.0980661142894</v>
      </c>
      <c r="O98" s="107">
        <v>194.0980661142894</v>
      </c>
      <c r="P98" s="107">
        <v>194.0980661142894</v>
      </c>
      <c r="Q98" s="107">
        <v>194.0980661142894</v>
      </c>
      <c r="R98" t="str">
        <f t="shared" si="6"/>
        <v/>
      </c>
    </row>
    <row r="99" spans="2:18" ht="15.6">
      <c r="B99" s="106">
        <f>B97+1</f>
        <v>37</v>
      </c>
      <c r="C99" s="103" t="s">
        <v>135</v>
      </c>
      <c r="D99" s="103" t="s">
        <v>134</v>
      </c>
      <c r="E99" s="107" cm="1">
        <f t="array" ref="E99">INDEX(N99:Q99,case_number)</f>
        <v>10245.332978022379</v>
      </c>
      <c r="F99" s="107" cm="1">
        <f t="array" aca="1" ref="F99" ca="1">INDIRECT(sheet_name&amp;"!k_seg")</f>
        <v>10244.96531616569</v>
      </c>
      <c r="G99" s="118">
        <f ca="1">(F99-E99)/E99</f>
        <v>-3.5885788922463456E-5</v>
      </c>
      <c r="I99" s="138"/>
      <c r="K99" s="106">
        <f>K97+1</f>
        <v>37</v>
      </c>
      <c r="L99" s="103" t="s">
        <v>135</v>
      </c>
      <c r="M99" s="103" t="s">
        <v>134</v>
      </c>
      <c r="N99" s="107">
        <v>10245.332978022379</v>
      </c>
      <c r="O99" s="107">
        <v>14760.990385286221</v>
      </c>
      <c r="P99" s="107">
        <v>15661.360422673919</v>
      </c>
      <c r="Q99" s="107">
        <v>15956.782644600848</v>
      </c>
      <c r="R99" t="str">
        <f t="shared" si="6"/>
        <v/>
      </c>
    </row>
    <row r="100" spans="2:18" ht="15.6">
      <c r="B100" s="106">
        <f>B99+1</f>
        <v>38</v>
      </c>
      <c r="C100" s="103" t="s">
        <v>133</v>
      </c>
      <c r="D100" s="103" t="s">
        <v>127</v>
      </c>
      <c r="E100" s="111" cm="1">
        <f t="array" ref="E100">INDEX(N100:Q100,case_number)</f>
        <v>823.89401242504141</v>
      </c>
      <c r="F100" s="111" cm="1">
        <f t="array" aca="1" ref="F100" ca="1">ROUND(INDIRECT(sheet_name&amp;"!Z_2_td"),0)</f>
        <v>824</v>
      </c>
      <c r="G100" s="118">
        <f ca="1">(F100-E100)/E100</f>
        <v>1.2864224446373524E-4</v>
      </c>
      <c r="I100" s="138"/>
      <c r="K100" s="106">
        <f>K99+1</f>
        <v>38</v>
      </c>
      <c r="L100" s="103" t="s">
        <v>133</v>
      </c>
      <c r="M100" s="103" t="s">
        <v>127</v>
      </c>
      <c r="N100" s="111">
        <v>823.89401242504141</v>
      </c>
      <c r="O100" s="111">
        <v>1261.6364319138888</v>
      </c>
      <c r="P100" s="111">
        <v>1355.5804720029787</v>
      </c>
      <c r="Q100" s="111">
        <v>1386.9263696642993</v>
      </c>
      <c r="R100" t="str">
        <f t="shared" si="6"/>
        <v/>
      </c>
    </row>
    <row r="101" spans="2:18">
      <c r="B101" s="106">
        <f>B100+1</f>
        <v>39</v>
      </c>
      <c r="C101" s="103" t="s">
        <v>0</v>
      </c>
      <c r="D101" s="103" t="s">
        <v>125</v>
      </c>
      <c r="E101" s="109" cm="1">
        <f t="array" ref="E101">INDEX(N101:Q101,case_number)</f>
        <v>0.41430870717841117</v>
      </c>
      <c r="F101" s="109" cm="1">
        <f t="array" aca="1" ref="F101" ca="1">INDIRECT(sheet_name&amp;"!u")</f>
        <v>0.41432340368180404</v>
      </c>
      <c r="G101" s="118">
        <f ca="1">(F101-E101)/E101</f>
        <v>3.5472349816039453E-5</v>
      </c>
      <c r="H101" t="s">
        <v>303</v>
      </c>
      <c r="I101" s="138"/>
      <c r="K101" s="106">
        <f>K100+1</f>
        <v>39</v>
      </c>
      <c r="L101" s="103" t="s">
        <v>0</v>
      </c>
      <c r="M101" s="103" t="s">
        <v>125</v>
      </c>
      <c r="N101" s="109">
        <v>0.41430870717841117</v>
      </c>
      <c r="O101" s="109">
        <v>0.4403495083656086</v>
      </c>
      <c r="P101" s="109">
        <v>0.44593813300367485</v>
      </c>
      <c r="Q101" s="109">
        <v>0.44780286498460981</v>
      </c>
      <c r="R101" t="str">
        <f t="shared" si="6"/>
        <v>(valid in case L-Flange is calculated)</v>
      </c>
    </row>
    <row r="102" spans="2:18">
      <c r="B102" s="106">
        <f>B101+1</f>
        <v>40</v>
      </c>
      <c r="C102" s="103" t="s">
        <v>0</v>
      </c>
      <c r="D102" s="103" t="s">
        <v>125</v>
      </c>
      <c r="E102" s="110" cm="1">
        <f t="array" ref="E102">INDEX(N102:Q102,case_number)</f>
        <v>0.41430870717841117</v>
      </c>
      <c r="F102" s="104"/>
      <c r="G102" s="104"/>
      <c r="H102" t="s">
        <v>302</v>
      </c>
      <c r="I102" s="138"/>
      <c r="K102" s="106">
        <f>K101+1</f>
        <v>40</v>
      </c>
      <c r="L102" s="103" t="s">
        <v>0</v>
      </c>
      <c r="M102" s="103" t="s">
        <v>125</v>
      </c>
      <c r="N102" s="109">
        <v>0.41430870717841117</v>
      </c>
      <c r="O102" s="109">
        <v>0.4403495083656086</v>
      </c>
      <c r="P102" s="109">
        <v>0.44593813300367485</v>
      </c>
      <c r="Q102" s="109">
        <v>0.44780286498460981</v>
      </c>
      <c r="R102" t="str">
        <f t="shared" si="6"/>
        <v>(valid in case T-Flange is calculated)</v>
      </c>
    </row>
    <row r="103" spans="2:18" ht="15.6">
      <c r="B103" s="106"/>
      <c r="C103" s="103" t="s">
        <v>132</v>
      </c>
      <c r="D103" s="103" t="s">
        <v>127</v>
      </c>
      <c r="E103" s="110" cm="1">
        <f t="array" ref="E103">INDEX(N103:Q103,case_number)</f>
        <v>14795</v>
      </c>
      <c r="F103" s="110" t="s">
        <v>85</v>
      </c>
      <c r="G103" s="110"/>
      <c r="I103" s="138"/>
      <c r="K103" s="106"/>
      <c r="L103" s="103" t="s">
        <v>132</v>
      </c>
      <c r="M103" s="103" t="s">
        <v>127</v>
      </c>
      <c r="N103" s="110">
        <v>14795</v>
      </c>
      <c r="O103" s="110">
        <v>14795</v>
      </c>
      <c r="P103" s="110">
        <v>14795</v>
      </c>
      <c r="Q103" s="110">
        <v>14795</v>
      </c>
      <c r="R103" t="str">
        <f t="shared" si="6"/>
        <v/>
      </c>
    </row>
    <row r="104" spans="2:18" ht="15.6">
      <c r="B104" s="106">
        <f>B102+1</f>
        <v>41</v>
      </c>
      <c r="C104" s="105" t="s">
        <v>131</v>
      </c>
      <c r="D104" s="103" t="s">
        <v>127</v>
      </c>
      <c r="E104" s="107" cm="1">
        <f t="array" ref="E104">INDEX(N104:Q104,case_number)</f>
        <v>-123.29166666666667</v>
      </c>
      <c r="F104" s="107" cm="1">
        <f t="array" aca="1" ref="F104" ca="1">INDIRECT(sheet_name&amp;"!Z_dw")</f>
        <v>-123.29166666666667</v>
      </c>
      <c r="G104" s="118">
        <f ca="1">(F104-E104)/E104</f>
        <v>0</v>
      </c>
      <c r="I104" s="139"/>
      <c r="K104" s="106">
        <f>K102+1</f>
        <v>41</v>
      </c>
      <c r="L104" s="105" t="s">
        <v>131</v>
      </c>
      <c r="M104" s="103" t="s">
        <v>127</v>
      </c>
      <c r="N104" s="107">
        <v>-123.29166666666667</v>
      </c>
      <c r="O104" s="107">
        <v>-123.29166666666667</v>
      </c>
      <c r="P104" s="107">
        <v>-123.29166666666667</v>
      </c>
      <c r="Q104" s="107">
        <v>-123.29166666666667</v>
      </c>
      <c r="R104" t="str">
        <f t="shared" si="6"/>
        <v/>
      </c>
    </row>
    <row r="105" spans="2:18">
      <c r="B105" s="106">
        <f t="shared" ref="B105:B112" si="8">B104+1</f>
        <v>42</v>
      </c>
      <c r="D105" s="103"/>
      <c r="E105" s="110"/>
      <c r="F105" s="104"/>
      <c r="G105" s="104"/>
      <c r="K105" s="106">
        <f t="shared" ref="K105:K112" si="9">K104+1</f>
        <v>42</v>
      </c>
      <c r="M105" s="103"/>
      <c r="N105" s="104"/>
      <c r="O105" s="104"/>
      <c r="P105" s="104"/>
      <c r="Q105" s="104"/>
      <c r="R105" t="str">
        <f t="shared" si="6"/>
        <v/>
      </c>
    </row>
    <row r="106" spans="2:18" ht="15.6">
      <c r="B106" s="106">
        <f t="shared" si="8"/>
        <v>43</v>
      </c>
      <c r="C106" s="103" t="s">
        <v>130</v>
      </c>
      <c r="D106" s="103" t="s">
        <v>127</v>
      </c>
      <c r="E106" s="107" cm="1">
        <f t="array" ref="E106">INDEX(N106:Q106,case_number)</f>
        <v>-1367.6496778414403</v>
      </c>
      <c r="F106" s="107" cm="1">
        <f t="array" aca="1" ref="F106" ca="1">INDIRECT(sheet_name&amp;"!point4.Z")</f>
        <v>-1367.6500195202234</v>
      </c>
      <c r="G106" s="118">
        <f ca="1">(F106-E106)/E106</f>
        <v>2.4982916945142781E-7</v>
      </c>
      <c r="I106" s="103"/>
      <c r="K106" s="106">
        <f t="shared" si="9"/>
        <v>43</v>
      </c>
      <c r="L106" s="103" t="s">
        <v>130</v>
      </c>
      <c r="M106" s="103" t="s">
        <v>127</v>
      </c>
      <c r="N106" s="107">
        <v>-1367.6496778414403</v>
      </c>
      <c r="O106" s="107">
        <v>-929.90725835259275</v>
      </c>
      <c r="P106" s="107">
        <v>-835.96321826350299</v>
      </c>
      <c r="Q106" s="107">
        <v>-804.6173206021823</v>
      </c>
      <c r="R106" t="str">
        <f t="shared" si="6"/>
        <v/>
      </c>
    </row>
    <row r="107" spans="2:18" ht="15.6">
      <c r="B107" s="106">
        <f t="shared" si="8"/>
        <v>44</v>
      </c>
      <c r="C107" s="105" t="s">
        <v>129</v>
      </c>
      <c r="D107" s="103" t="s">
        <v>122</v>
      </c>
      <c r="E107" s="113" cm="1">
        <f t="array" ref="E107">INDEX(N107:Q107,case_number)</f>
        <v>0.12040478807649153</v>
      </c>
      <c r="F107" s="113" cm="1">
        <f t="array" aca="1" ref="F107" ca="1">INDIRECT(sheet_name&amp;"!true_force_initial_slope")</f>
        <v>0.12038620783873294</v>
      </c>
      <c r="G107" s="118">
        <f ca="1">(F107-E107)/E107</f>
        <v>-1.5431477481436177E-4</v>
      </c>
      <c r="I107" s="105"/>
      <c r="K107" s="106">
        <f t="shared" si="9"/>
        <v>44</v>
      </c>
      <c r="L107" s="105" t="s">
        <v>129</v>
      </c>
      <c r="M107" s="103" t="s">
        <v>122</v>
      </c>
      <c r="N107" s="109">
        <v>0.12040478807649153</v>
      </c>
      <c r="O107" s="109">
        <v>0.11968353670000167</v>
      </c>
      <c r="P107" s="109">
        <v>0.1157083240104905</v>
      </c>
      <c r="Q107" s="109">
        <v>0.11273981784143602</v>
      </c>
      <c r="R107" t="str">
        <f t="shared" si="6"/>
        <v/>
      </c>
    </row>
    <row r="108" spans="2:18" ht="15.6">
      <c r="B108" s="106">
        <f t="shared" si="8"/>
        <v>45</v>
      </c>
      <c r="C108" s="103" t="s">
        <v>128</v>
      </c>
      <c r="D108" s="103" t="s">
        <v>127</v>
      </c>
      <c r="E108" s="108" cm="1">
        <f t="array" ref="E108">INDEX(N108:Q108,case_number)</f>
        <v>2801.0866686866084</v>
      </c>
      <c r="F108" s="108" cm="1">
        <f t="array" aca="1" ref="F108" ca="1">INDIRECT(sheet_name&amp;"!point4.Fs")</f>
        <v>2801.0982083537542</v>
      </c>
      <c r="G108" s="118">
        <f ca="1">(F108-E108)/E108</f>
        <v>4.1197108518018312E-6</v>
      </c>
      <c r="I108" s="103"/>
      <c r="K108" s="106">
        <f t="shared" si="9"/>
        <v>45</v>
      </c>
      <c r="L108" s="103" t="s">
        <v>128</v>
      </c>
      <c r="M108" s="103" t="s">
        <v>127</v>
      </c>
      <c r="N108" s="108">
        <v>2801.0866686866084</v>
      </c>
      <c r="O108" s="108">
        <v>2827.7306966148312</v>
      </c>
      <c r="P108" s="108">
        <v>2834.7689845973864</v>
      </c>
      <c r="Q108" s="108">
        <v>2837.5937349423066</v>
      </c>
      <c r="R108" t="str">
        <f t="shared" si="6"/>
        <v/>
      </c>
    </row>
    <row r="109" spans="2:18" ht="15.6">
      <c r="B109" s="106">
        <f t="shared" si="8"/>
        <v>46</v>
      </c>
      <c r="C109" s="105" t="s">
        <v>126</v>
      </c>
      <c r="D109" s="103" t="s">
        <v>122</v>
      </c>
      <c r="E109" s="110" cm="1">
        <f t="array" ref="E109">INDEX(N109:Q109,case_number)</f>
        <v>0.1423059102718657</v>
      </c>
      <c r="F109" s="104"/>
      <c r="G109" s="104"/>
      <c r="H109" t="s">
        <v>303</v>
      </c>
      <c r="I109" s="105"/>
      <c r="K109" s="106">
        <f t="shared" si="9"/>
        <v>46</v>
      </c>
      <c r="L109" s="105" t="s">
        <v>126</v>
      </c>
      <c r="M109" s="103" t="s">
        <v>122</v>
      </c>
      <c r="N109" s="113">
        <v>0.1423059102718657</v>
      </c>
      <c r="O109" s="113">
        <v>0.1423059102718657</v>
      </c>
      <c r="P109" s="113">
        <v>0.1423059102718657</v>
      </c>
      <c r="Q109" s="113">
        <v>0.1423059102718657</v>
      </c>
      <c r="R109" t="str">
        <f t="shared" si="6"/>
        <v>(valid in case L-Flange is calculated)</v>
      </c>
    </row>
    <row r="110" spans="2:18" ht="15.6">
      <c r="B110" s="106">
        <f t="shared" si="8"/>
        <v>47</v>
      </c>
      <c r="C110" s="105" t="s">
        <v>126</v>
      </c>
      <c r="D110" s="103" t="s">
        <v>122</v>
      </c>
      <c r="E110" s="110" cm="1">
        <f t="array" ref="E110">INDEX(N110:Q110,case_number)</f>
        <v>0.1423059102718657</v>
      </c>
      <c r="F110" s="104"/>
      <c r="G110" s="104"/>
      <c r="H110" t="s">
        <v>302</v>
      </c>
      <c r="I110" s="105"/>
      <c r="K110" s="106">
        <f t="shared" si="9"/>
        <v>47</v>
      </c>
      <c r="L110" s="105" t="s">
        <v>126</v>
      </c>
      <c r="M110" s="103" t="s">
        <v>122</v>
      </c>
      <c r="N110" s="113">
        <v>0.1423059102718657</v>
      </c>
      <c r="O110" s="113">
        <v>0.1423059102718657</v>
      </c>
      <c r="P110" s="113">
        <v>0.1423059102718657</v>
      </c>
      <c r="Q110" s="113">
        <v>0.1423059102718657</v>
      </c>
      <c r="R110" t="str">
        <f t="shared" si="6"/>
        <v>(valid in case T-Flange is calculated)</v>
      </c>
    </row>
    <row r="111" spans="2:18" ht="15.6">
      <c r="B111" s="106">
        <f t="shared" si="8"/>
        <v>48</v>
      </c>
      <c r="C111" s="105" t="s">
        <v>124</v>
      </c>
      <c r="D111" s="103" t="s">
        <v>120</v>
      </c>
      <c r="E111" s="128"/>
      <c r="F111" s="128"/>
      <c r="G111" s="128"/>
      <c r="H111" t="s">
        <v>271</v>
      </c>
      <c r="I111" s="105"/>
      <c r="K111" s="106">
        <f t="shared" si="9"/>
        <v>48</v>
      </c>
      <c r="L111" s="105" t="s">
        <v>124</v>
      </c>
      <c r="M111" s="103" t="s">
        <v>120</v>
      </c>
      <c r="N111" s="128"/>
      <c r="O111" s="128"/>
      <c r="P111" s="128"/>
      <c r="Q111" s="128"/>
      <c r="R111" t="str">
        <f t="shared" si="6"/>
        <v>Bending moment L-Flange as a function of external force Z</v>
      </c>
    </row>
    <row r="112" spans="2:18">
      <c r="B112" s="106">
        <f t="shared" si="8"/>
        <v>49</v>
      </c>
      <c r="C112" s="105" t="s">
        <v>1</v>
      </c>
      <c r="D112" s="103" t="s">
        <v>125</v>
      </c>
      <c r="E112" s="107" cm="1">
        <f t="array" ref="E112">INDEX(N112:Q112,case_number)</f>
        <v>112.77695050276786</v>
      </c>
      <c r="F112" s="107" cm="1">
        <f t="array" aca="1" ref="F112" ca="1">INDIRECT(sheet_name&amp;"!a_star")</f>
        <v>112.77695050276785</v>
      </c>
      <c r="G112" s="118">
        <f ca="1">(F112-E112)/E112</f>
        <v>-1.2600850308373279E-16</v>
      </c>
      <c r="I112" s="105"/>
      <c r="K112" s="106">
        <f t="shared" si="9"/>
        <v>49</v>
      </c>
      <c r="L112" s="105" t="s">
        <v>1</v>
      </c>
      <c r="M112" s="103" t="s">
        <v>125</v>
      </c>
      <c r="N112" s="107">
        <v>112.77695050276786</v>
      </c>
      <c r="O112" s="107">
        <v>112.77695050276786</v>
      </c>
      <c r="P112" s="107">
        <v>112.77695050276786</v>
      </c>
      <c r="Q112" s="107">
        <v>112.77695050276786</v>
      </c>
      <c r="R112" t="str">
        <f t="shared" si="6"/>
        <v/>
      </c>
    </row>
    <row r="113" spans="2:18" ht="15.6">
      <c r="B113" s="106"/>
      <c r="C113" s="105" t="s">
        <v>269</v>
      </c>
      <c r="D113" s="103" t="s">
        <v>268</v>
      </c>
      <c r="E113" s="114" cm="1">
        <f t="array" ref="E113">INDEX(N113:Q113,case_number)</f>
        <v>1.6641565715404047E-9</v>
      </c>
      <c r="F113" s="114" cm="1">
        <f t="array" aca="1" ref="F113" ca="1">1/(INDIRECT(sheet_name&amp;"!bolt.bending_stiffness")*1000000)</f>
        <v>1.6642873860837012E-9</v>
      </c>
      <c r="G113" s="118">
        <f ca="1">(F113-E113)/E113</f>
        <v>7.8607112776309221E-5</v>
      </c>
      <c r="H113" t="s">
        <v>270</v>
      </c>
      <c r="I113" s="105"/>
      <c r="K113" s="106"/>
      <c r="L113" s="105" t="s">
        <v>269</v>
      </c>
      <c r="M113" s="103" t="s">
        <v>268</v>
      </c>
      <c r="N113" s="114">
        <v>1.6641565715404047E-9</v>
      </c>
      <c r="O113" s="114">
        <v>1.6641565715404047E-9</v>
      </c>
      <c r="P113" s="114">
        <v>1.6641565715404047E-9</v>
      </c>
      <c r="Q113" s="114">
        <v>1.6641565715404047E-9</v>
      </c>
      <c r="R113" t="str">
        <f t="shared" si="6"/>
        <v>Bending resilience of bolt assembly</v>
      </c>
    </row>
    <row r="114" spans="2:18" ht="15.6">
      <c r="B114" s="106">
        <f>B112+1</f>
        <v>50</v>
      </c>
      <c r="C114" s="105" t="s">
        <v>124</v>
      </c>
      <c r="D114" s="103" t="s">
        <v>120</v>
      </c>
      <c r="E114" s="128"/>
      <c r="F114" s="128"/>
      <c r="G114" s="128"/>
      <c r="H114" t="s">
        <v>267</v>
      </c>
      <c r="I114" s="105"/>
      <c r="K114" s="106">
        <f>K112+1</f>
        <v>50</v>
      </c>
      <c r="L114" s="105" t="s">
        <v>124</v>
      </c>
      <c r="M114" s="103" t="s">
        <v>120</v>
      </c>
      <c r="N114" s="128"/>
      <c r="O114" s="128"/>
      <c r="P114" s="128"/>
      <c r="Q114" s="128"/>
      <c r="R114" t="str">
        <f t="shared" si="6"/>
        <v>Bending moment for T-Flange as a function of external force Z</v>
      </c>
    </row>
    <row r="115" spans="2:18" ht="15.6">
      <c r="B115" s="106">
        <f>B114+1</f>
        <v>51</v>
      </c>
      <c r="C115" s="105" t="s">
        <v>266</v>
      </c>
      <c r="D115" s="103" t="s">
        <v>122</v>
      </c>
      <c r="E115" s="128"/>
      <c r="F115" s="128"/>
      <c r="G115" s="128"/>
      <c r="H115" t="s">
        <v>265</v>
      </c>
      <c r="I115" s="105"/>
      <c r="K115" s="106">
        <f>K114+1</f>
        <v>51</v>
      </c>
      <c r="L115" s="105" t="s">
        <v>266</v>
      </c>
      <c r="M115" s="103" t="s">
        <v>122</v>
      </c>
      <c r="N115" s="128"/>
      <c r="O115" s="128"/>
      <c r="P115" s="128"/>
      <c r="Q115" s="128"/>
      <c r="R115" t="str">
        <f t="shared" si="6"/>
        <v>Intermediate values as function of Z</v>
      </c>
    </row>
    <row r="116" spans="2:18" ht="15.6">
      <c r="B116" s="106">
        <f>B115+1</f>
        <v>52</v>
      </c>
      <c r="C116" s="105" t="s">
        <v>264</v>
      </c>
      <c r="D116" s="103" t="s">
        <v>122</v>
      </c>
      <c r="E116" s="128"/>
      <c r="F116" s="128"/>
      <c r="G116" s="128"/>
      <c r="H116" t="s">
        <v>265</v>
      </c>
      <c r="I116" s="105"/>
      <c r="K116" s="106">
        <f>K115+1</f>
        <v>52</v>
      </c>
      <c r="L116" s="105" t="s">
        <v>264</v>
      </c>
      <c r="M116" s="103" t="s">
        <v>122</v>
      </c>
      <c r="N116" s="128"/>
      <c r="O116" s="128"/>
      <c r="P116" s="128"/>
      <c r="Q116" s="128"/>
      <c r="R116" t="str">
        <f t="shared" si="6"/>
        <v>Intermediate values as function of Z</v>
      </c>
    </row>
    <row r="117" spans="2:18" ht="15.6">
      <c r="B117" s="106">
        <f>B116+1</f>
        <v>53</v>
      </c>
      <c r="C117" s="105" t="s">
        <v>123</v>
      </c>
      <c r="D117" s="103" t="s">
        <v>122</v>
      </c>
      <c r="E117" s="113" cm="1">
        <f t="array" ref="E117">INDEX(N117:Q117,case_number)</f>
        <v>0.49415030308522712</v>
      </c>
      <c r="F117" s="113" cm="1">
        <f t="array" aca="1" ref="F117" ca="1">INDIRECT(sheet_name&amp;"!true_moment_initial_slope")</f>
        <v>0.49406616497246486</v>
      </c>
      <c r="G117" s="118">
        <f ca="1">(F117-E117)/E117</f>
        <v>-1.7026826096622647E-4</v>
      </c>
      <c r="H117" t="s">
        <v>303</v>
      </c>
      <c r="I117" s="105"/>
      <c r="K117" s="106">
        <f>K116+1</f>
        <v>53</v>
      </c>
      <c r="L117" s="105" t="s">
        <v>123</v>
      </c>
      <c r="M117" s="103" t="s">
        <v>122</v>
      </c>
      <c r="N117" s="109">
        <v>0.49415030308522712</v>
      </c>
      <c r="O117" s="109">
        <v>0.58792341515434787</v>
      </c>
      <c r="P117" s="109">
        <v>0.60622809380095677</v>
      </c>
      <c r="Q117" s="109">
        <v>0.61147882833072409</v>
      </c>
      <c r="R117" t="str">
        <f t="shared" si="6"/>
        <v>(valid in case L-Flange is calculated)</v>
      </c>
    </row>
    <row r="118" spans="2:18" ht="15.6">
      <c r="C118" s="105" t="s">
        <v>123</v>
      </c>
      <c r="D118" s="103" t="s">
        <v>122</v>
      </c>
      <c r="E118" s="113" cm="1">
        <f t="array" ref="E118">INDEX(N118:Q118,case_number)</f>
        <v>0.1234684985175353</v>
      </c>
      <c r="F118" s="109" t="s">
        <v>85</v>
      </c>
      <c r="G118" s="109" t="s">
        <v>85</v>
      </c>
      <c r="H118" t="s">
        <v>302</v>
      </c>
      <c r="L118" s="105" t="s">
        <v>123</v>
      </c>
      <c r="M118" s="103" t="s">
        <v>122</v>
      </c>
      <c r="N118" s="114">
        <v>0.1234684985175353</v>
      </c>
      <c r="O118" s="114">
        <v>0.11428595240035409</v>
      </c>
      <c r="P118" s="114">
        <v>0.1071879967338283</v>
      </c>
      <c r="Q118" s="114">
        <v>0.10262233004223215</v>
      </c>
      <c r="R118" t="str">
        <f t="shared" si="6"/>
        <v>(valid in case T-Flange is calculated)</v>
      </c>
    </row>
    <row r="119" spans="2:18" ht="15.6">
      <c r="B119" s="106">
        <f>B117+1</f>
        <v>54</v>
      </c>
      <c r="C119" s="105" t="s">
        <v>121</v>
      </c>
      <c r="D119" s="103" t="s">
        <v>120</v>
      </c>
      <c r="E119" s="108" cm="1">
        <f t="array" ref="E119">INDEX(N119:Q119,case_number)</f>
        <v>-322.13499207144736</v>
      </c>
      <c r="F119" s="108" cm="1">
        <f t="array" aca="1" ref="F119" ca="1">INDIRECT(sheet_name&amp;"!point4.Ms")</f>
        <v>-322.08126090496728</v>
      </c>
      <c r="G119" s="118">
        <f ca="1">(F119-E119)/E119</f>
        <v>-1.6679705031286883E-4</v>
      </c>
      <c r="H119" t="s">
        <v>303</v>
      </c>
      <c r="I119" s="105"/>
      <c r="K119" s="106">
        <f>K117+1</f>
        <v>54</v>
      </c>
      <c r="L119" s="105" t="s">
        <v>121</v>
      </c>
      <c r="M119" s="103" t="s">
        <v>120</v>
      </c>
      <c r="N119" s="108">
        <v>-322.13499207144736</v>
      </c>
      <c r="O119" s="108">
        <v>-263.63757311066729</v>
      </c>
      <c r="P119" s="108">
        <v>-246.3276668322757</v>
      </c>
      <c r="Q119" s="108">
        <v>-240.40239495744856</v>
      </c>
      <c r="R119" t="str">
        <f t="shared" si="6"/>
        <v>(valid in case L-Flange is calculated)</v>
      </c>
    </row>
    <row r="120" spans="2:18" ht="15.6">
      <c r="C120" s="105" t="s">
        <v>121</v>
      </c>
      <c r="D120" s="103" t="s">
        <v>120</v>
      </c>
      <c r="E120" s="108" cm="1">
        <f t="array" ref="E120">INDEX(N120:Q120,case_number)</f>
        <v>-76.819507629007845</v>
      </c>
      <c r="F120" s="109" t="s">
        <v>85</v>
      </c>
      <c r="G120" s="109" t="s">
        <v>85</v>
      </c>
      <c r="H120" t="s">
        <v>302</v>
      </c>
      <c r="L120" s="105" t="s">
        <v>121</v>
      </c>
      <c r="M120" s="103" t="s">
        <v>120</v>
      </c>
      <c r="N120" s="108">
        <v>-76.819507629007845</v>
      </c>
      <c r="O120" s="108">
        <v>-46.092415558401107</v>
      </c>
      <c r="P120" s="108">
        <v>-38.194917972427533</v>
      </c>
      <c r="Q120" s="108">
        <v>-34.959613062205065</v>
      </c>
      <c r="R120" t="str">
        <f t="shared" si="6"/>
        <v>(valid in case T-Flange is calculated)</v>
      </c>
    </row>
    <row r="121" spans="2:18" ht="15.6">
      <c r="C121" s="105" t="s">
        <v>331</v>
      </c>
      <c r="D121" s="103" t="s">
        <v>127</v>
      </c>
      <c r="E121" s="108" cm="1">
        <f t="array" ref="E121">INDEX(N121:Q121,case_number)</f>
        <v>-123.19166666666668</v>
      </c>
      <c r="F121" s="109" t="s">
        <v>85</v>
      </c>
      <c r="G121" s="109" t="s">
        <v>85</v>
      </c>
      <c r="L121" s="105" t="s">
        <v>331</v>
      </c>
      <c r="M121" s="103" t="s">
        <v>127</v>
      </c>
      <c r="N121" s="109">
        <v>-123.19166666666668</v>
      </c>
      <c r="O121" s="109">
        <v>-123.19166666666668</v>
      </c>
      <c r="P121" s="109">
        <v>-123.19166666666668</v>
      </c>
      <c r="Q121" s="109">
        <v>-123.19166666666668</v>
      </c>
    </row>
    <row r="122" spans="2:18" ht="16.2">
      <c r="C122" s="153" t="s">
        <v>332</v>
      </c>
      <c r="D122" s="103" t="s">
        <v>120</v>
      </c>
      <c r="E122" s="108" cm="1">
        <f t="array" ref="E122">INDEX(N122:Q122,case_number)</f>
        <v>0</v>
      </c>
      <c r="F122" s="109" t="s">
        <v>85</v>
      </c>
      <c r="G122" s="109" t="s">
        <v>85</v>
      </c>
      <c r="H122" s="154" t="s">
        <v>341</v>
      </c>
      <c r="L122" s="153" t="s">
        <v>332</v>
      </c>
      <c r="M122" s="103" t="s">
        <v>120</v>
      </c>
      <c r="N122" s="113">
        <v>0</v>
      </c>
      <c r="O122" s="113">
        <v>-5.0559479414750573E-13</v>
      </c>
      <c r="P122" s="113">
        <v>-5.0559479414750573E-13</v>
      </c>
      <c r="Q122" s="113">
        <v>0</v>
      </c>
      <c r="R122" s="154" t="s">
        <v>341</v>
      </c>
    </row>
    <row r="123" spans="2:18" ht="16.2">
      <c r="C123" s="153" t="s">
        <v>333</v>
      </c>
      <c r="D123" s="103" t="s">
        <v>120</v>
      </c>
      <c r="E123" s="108" cm="1">
        <f t="array" ref="E123">INDEX(N123:Q123,case_number)</f>
        <v>-40.182316327404109</v>
      </c>
      <c r="F123" s="109" t="s">
        <v>85</v>
      </c>
      <c r="G123" s="109" t="s">
        <v>85</v>
      </c>
      <c r="H123" s="154" t="s">
        <v>341</v>
      </c>
      <c r="L123" s="153" t="s">
        <v>333</v>
      </c>
      <c r="M123" s="103" t="s">
        <v>120</v>
      </c>
      <c r="N123" s="109">
        <v>-40.182316327404109</v>
      </c>
      <c r="O123" s="109">
        <v>-72.575501817309217</v>
      </c>
      <c r="P123" s="109">
        <v>-82.928009654801173</v>
      </c>
      <c r="Q123" s="109">
        <v>-87.818771136704058</v>
      </c>
      <c r="R123" s="154" t="s">
        <v>341</v>
      </c>
    </row>
    <row r="124" spans="2:18" ht="16.2">
      <c r="C124" s="153" t="s">
        <v>334</v>
      </c>
      <c r="D124" s="103" t="s">
        <v>120</v>
      </c>
      <c r="E124" s="108" cm="1">
        <f t="array" ref="E124">INDEX(N124:Q124,case_number)</f>
        <v>0</v>
      </c>
      <c r="F124" s="109" t="s">
        <v>85</v>
      </c>
      <c r="G124" s="109" t="s">
        <v>85</v>
      </c>
      <c r="H124" s="154" t="s">
        <v>341</v>
      </c>
      <c r="L124" s="153" t="s">
        <v>334</v>
      </c>
      <c r="M124" s="103" t="s">
        <v>120</v>
      </c>
      <c r="N124" s="113">
        <v>0</v>
      </c>
      <c r="O124" s="113">
        <v>-5.0559479414750573E-13</v>
      </c>
      <c r="P124" s="113">
        <v>-5.0559479414750573E-13</v>
      </c>
      <c r="Q124" s="113">
        <v>0</v>
      </c>
      <c r="R124" s="154" t="s">
        <v>341</v>
      </c>
    </row>
    <row r="125" spans="2:18" ht="16.2">
      <c r="C125" s="153" t="s">
        <v>332</v>
      </c>
      <c r="D125" s="103" t="s">
        <v>120</v>
      </c>
      <c r="E125" s="108" cm="1">
        <f t="array" ref="E125">INDEX(N125:Q125,case_number)</f>
        <v>1.3386781456392284E-2</v>
      </c>
      <c r="F125" s="109" t="s">
        <v>85</v>
      </c>
      <c r="G125" s="109" t="s">
        <v>85</v>
      </c>
      <c r="H125" s="154" t="s">
        <v>342</v>
      </c>
      <c r="L125" s="153" t="s">
        <v>332</v>
      </c>
      <c r="M125" s="103" t="s">
        <v>120</v>
      </c>
      <c r="N125" s="113">
        <v>1.3386781456392284E-2</v>
      </c>
      <c r="O125" s="113">
        <v>1.3306591666872168E-2</v>
      </c>
      <c r="P125" s="113">
        <v>1.2864621672428456E-2</v>
      </c>
      <c r="Q125" s="113">
        <v>1.2534578790321781E-2</v>
      </c>
      <c r="R125" s="154" t="s">
        <v>342</v>
      </c>
    </row>
    <row r="126" spans="2:18" ht="16.2">
      <c r="C126" s="153" t="s">
        <v>333</v>
      </c>
      <c r="D126" s="103" t="s">
        <v>120</v>
      </c>
      <c r="E126" s="108" cm="1">
        <f t="array" ref="E126">INDEX(N126:Q126,case_number)</f>
        <v>-40.149725060359245</v>
      </c>
      <c r="F126" s="109" t="s">
        <v>85</v>
      </c>
      <c r="G126" s="109" t="s">
        <v>85</v>
      </c>
      <c r="H126" s="154" t="s">
        <v>342</v>
      </c>
      <c r="L126" s="153" t="s">
        <v>333</v>
      </c>
      <c r="M126" s="103" t="s">
        <v>120</v>
      </c>
      <c r="N126" s="109">
        <v>-40.149725060359245</v>
      </c>
      <c r="O126" s="109">
        <v>-72.516636929049142</v>
      </c>
      <c r="P126" s="109">
        <v>-82.860748004523572</v>
      </c>
      <c r="Q126" s="109">
        <v>-87.747542664001102</v>
      </c>
      <c r="R126" s="154" t="s">
        <v>342</v>
      </c>
    </row>
    <row r="127" spans="2:18" ht="16.2">
      <c r="C127" s="153" t="s">
        <v>334</v>
      </c>
      <c r="D127" s="103" t="s">
        <v>120</v>
      </c>
      <c r="E127" s="108" cm="1">
        <f t="array" ref="E127">INDEX(N127:Q127,case_number)</f>
        <v>1.2346849851752828E-2</v>
      </c>
      <c r="F127" s="109" t="s">
        <v>85</v>
      </c>
      <c r="G127" s="109" t="s">
        <v>85</v>
      </c>
      <c r="H127" s="154" t="s">
        <v>342</v>
      </c>
      <c r="L127" s="153" t="s">
        <v>334</v>
      </c>
      <c r="M127" s="103" t="s">
        <v>120</v>
      </c>
      <c r="N127" s="113">
        <v>1.2346849851752828E-2</v>
      </c>
      <c r="O127" s="113">
        <v>1.1428595239529164E-2</v>
      </c>
      <c r="P127" s="113">
        <v>1.0718799672876625E-2</v>
      </c>
      <c r="Q127" s="113">
        <v>1.0262233004222632E-2</v>
      </c>
      <c r="R127" s="154" t="s">
        <v>342</v>
      </c>
    </row>
    <row r="128" spans="2:18" ht="16.2">
      <c r="C128" s="153" t="s">
        <v>335</v>
      </c>
      <c r="D128" s="103" t="s">
        <v>120</v>
      </c>
      <c r="E128" s="108" cm="1">
        <f t="array" ref="E128">INDEX(N128:Q128,case_number)</f>
        <v>-14.685047887174937</v>
      </c>
      <c r="F128" s="109" t="s">
        <v>85</v>
      </c>
      <c r="G128" s="109" t="s">
        <v>85</v>
      </c>
      <c r="L128" s="153" t="s">
        <v>335</v>
      </c>
      <c r="M128" s="103" t="s">
        <v>120</v>
      </c>
      <c r="N128" s="113">
        <v>-14.685047887174937</v>
      </c>
      <c r="O128" s="113">
        <v>-26.523476420299968</v>
      </c>
      <c r="P128" s="113">
        <v>-30.306908716915537</v>
      </c>
      <c r="Q128" s="113">
        <v>-32.094288667371821</v>
      </c>
    </row>
    <row r="129" spans="3:18" ht="16.2">
      <c r="C129" s="153" t="s">
        <v>336</v>
      </c>
      <c r="D129" s="103" t="s">
        <v>120</v>
      </c>
      <c r="E129" s="108" cm="1">
        <f t="array" ref="E129">INDEX(N129:Q129,case_number)</f>
        <v>2925.8132343674552</v>
      </c>
      <c r="F129" s="109" t="s">
        <v>85</v>
      </c>
      <c r="G129" s="109" t="s">
        <v>85</v>
      </c>
      <c r="L129" s="153" t="s">
        <v>336</v>
      </c>
      <c r="M129" s="103" t="s">
        <v>120</v>
      </c>
      <c r="N129" s="113">
        <v>2925.8132343674552</v>
      </c>
      <c r="O129" s="113">
        <v>3052.4380171708826</v>
      </c>
      <c r="P129" s="113">
        <v>3079.6130021445742</v>
      </c>
      <c r="Q129" s="113">
        <v>3088.6803607244869</v>
      </c>
    </row>
    <row r="130" spans="3:18" ht="16.2">
      <c r="C130" s="153" t="s">
        <v>337</v>
      </c>
      <c r="D130" s="103" t="s">
        <v>120</v>
      </c>
      <c r="E130" s="108" cm="1">
        <f t="array" ref="E130">INDEX(N130:Q130,case_number)</f>
        <v>229.08386220142413</v>
      </c>
      <c r="F130" s="109" t="s">
        <v>85</v>
      </c>
      <c r="G130" s="109" t="s">
        <v>85</v>
      </c>
      <c r="L130" s="153" t="s">
        <v>337</v>
      </c>
      <c r="M130" s="103" t="s">
        <v>120</v>
      </c>
      <c r="N130" s="113">
        <v>229.08386220142413</v>
      </c>
      <c r="O130" s="113">
        <v>169.45782240535738</v>
      </c>
      <c r="P130" s="113">
        <v>160.22442342937131</v>
      </c>
      <c r="Q130" s="113">
        <v>156.61950693641407</v>
      </c>
    </row>
    <row r="131" spans="3:18" ht="15.6">
      <c r="C131" s="112" t="s">
        <v>338</v>
      </c>
      <c r="E131" s="108" cm="1">
        <f t="array" ref="E131">INDEX(N131:Q131,case_number)</f>
        <v>4.1905840717736343E-4</v>
      </c>
      <c r="F131" s="109" t="s">
        <v>85</v>
      </c>
      <c r="G131" s="109" t="s">
        <v>85</v>
      </c>
      <c r="H131" t="s">
        <v>343</v>
      </c>
      <c r="L131" s="112" t="s">
        <v>338</v>
      </c>
      <c r="N131" s="149">
        <v>4.1905840717736343E-4</v>
      </c>
      <c r="O131" s="149">
        <v>6.0675394176265703E-4</v>
      </c>
      <c r="P131" s="149">
        <v>7.0032746593815128E-4</v>
      </c>
      <c r="Q131" s="149">
        <v>7.5909397505679655E-4</v>
      </c>
      <c r="R131" t="s">
        <v>343</v>
      </c>
    </row>
    <row r="132" spans="3:18" ht="15.6">
      <c r="C132" s="112" t="s">
        <v>339</v>
      </c>
      <c r="E132" s="108" cm="1">
        <f t="array" ref="E132">INDEX(N132:Q132,case_number)</f>
        <v>0.59744121614189982</v>
      </c>
      <c r="F132" s="109" t="s">
        <v>85</v>
      </c>
      <c r="G132" s="109" t="s">
        <v>85</v>
      </c>
      <c r="H132" t="s">
        <v>344</v>
      </c>
      <c r="L132" s="112" t="s">
        <v>339</v>
      </c>
      <c r="N132" s="149">
        <v>0.59744121614189982</v>
      </c>
      <c r="O132" s="149">
        <v>0.73747814923545729</v>
      </c>
      <c r="P132" s="149">
        <v>0.77884714204471928</v>
      </c>
      <c r="Q132" s="149">
        <v>0.79858284162159954</v>
      </c>
      <c r="R132" t="s">
        <v>344</v>
      </c>
    </row>
    <row r="133" spans="3:18" ht="15.6">
      <c r="C133" s="112" t="s">
        <v>340</v>
      </c>
      <c r="E133" s="108" cm="1">
        <f t="array" ref="E133">INDEX(N133:Q133,case_number)</f>
        <v>52.604437654353092</v>
      </c>
      <c r="F133" s="109" t="s">
        <v>85</v>
      </c>
      <c r="G133" s="109" t="s">
        <v>85</v>
      </c>
      <c r="H133" t="s">
        <v>345</v>
      </c>
      <c r="L133" s="112" t="s">
        <v>340</v>
      </c>
      <c r="N133" s="149">
        <v>52.604437654353092</v>
      </c>
      <c r="O133" s="149">
        <v>55.178267132717792</v>
      </c>
      <c r="P133" s="149">
        <v>55.072891200019058</v>
      </c>
      <c r="Q133" s="149">
        <v>54.825458530511014</v>
      </c>
      <c r="R133" t="s">
        <v>345</v>
      </c>
    </row>
  </sheetData>
  <conditionalFormatting sqref="G29:G31">
    <cfRule type="cellIs" dxfId="15" priority="18" operator="notBetween">
      <formula>-0.001</formula>
      <formula>0.001</formula>
    </cfRule>
  </conditionalFormatting>
  <conditionalFormatting sqref="G36:G38">
    <cfRule type="cellIs" dxfId="14" priority="17" operator="notBetween">
      <formula>-0.001</formula>
      <formula>0.001</formula>
    </cfRule>
  </conditionalFormatting>
  <conditionalFormatting sqref="G48:G53">
    <cfRule type="cellIs" dxfId="13" priority="16" operator="notBetween">
      <formula>-0.001</formula>
      <formula>0.001</formula>
    </cfRule>
  </conditionalFormatting>
  <conditionalFormatting sqref="G60:G61">
    <cfRule type="cellIs" dxfId="12" priority="15" operator="notBetween">
      <formula>-0.001</formula>
      <formula>0.001</formula>
    </cfRule>
  </conditionalFormatting>
  <conditionalFormatting sqref="G67:G72">
    <cfRule type="cellIs" dxfId="11" priority="4" operator="notBetween">
      <formula>-0.001</formula>
      <formula>0.001</formula>
    </cfRule>
  </conditionalFormatting>
  <conditionalFormatting sqref="G76:G79">
    <cfRule type="cellIs" dxfId="10" priority="3" operator="notBetween">
      <formula>-0.001</formula>
      <formula>0.001</formula>
    </cfRule>
  </conditionalFormatting>
  <conditionalFormatting sqref="G81:G84">
    <cfRule type="cellIs" dxfId="9" priority="13" operator="notBetween">
      <formula>-0.001</formula>
      <formula>0.001</formula>
    </cfRule>
  </conditionalFormatting>
  <conditionalFormatting sqref="G86:G89">
    <cfRule type="cellIs" dxfId="8" priority="12" operator="notBetween">
      <formula>-0.001</formula>
      <formula>0.001</formula>
    </cfRule>
  </conditionalFormatting>
  <conditionalFormatting sqref="G92">
    <cfRule type="cellIs" dxfId="7" priority="1" operator="notBetween">
      <formula>-0.001</formula>
      <formula>0.001</formula>
    </cfRule>
  </conditionalFormatting>
  <conditionalFormatting sqref="G94:G95">
    <cfRule type="cellIs" dxfId="6" priority="11" operator="notBetween">
      <formula>-0.001</formula>
      <formula>0.001</formula>
    </cfRule>
  </conditionalFormatting>
  <conditionalFormatting sqref="G97:G101">
    <cfRule type="cellIs" dxfId="5" priority="10" operator="notBetween">
      <formula>-0.001</formula>
      <formula>0.001</formula>
    </cfRule>
  </conditionalFormatting>
  <conditionalFormatting sqref="G104">
    <cfRule type="cellIs" dxfId="4" priority="9" operator="notBetween">
      <formula>-0.001</formula>
      <formula>0.001</formula>
    </cfRule>
  </conditionalFormatting>
  <conditionalFormatting sqref="G106:G108">
    <cfRule type="cellIs" dxfId="3" priority="8" operator="notBetween">
      <formula>-0.001</formula>
      <formula>0.001</formula>
    </cfRule>
  </conditionalFormatting>
  <conditionalFormatting sqref="G112:G113">
    <cfRule type="cellIs" dxfId="2" priority="7" operator="notBetween">
      <formula>-0.001</formula>
      <formula>0.001</formula>
    </cfRule>
  </conditionalFormatting>
  <conditionalFormatting sqref="G117">
    <cfRule type="cellIs" dxfId="1" priority="6" operator="notBetween">
      <formula>-0.001</formula>
      <formula>0.001</formula>
    </cfRule>
  </conditionalFormatting>
  <conditionalFormatting sqref="G119">
    <cfRule type="cellIs" dxfId="0" priority="5" operator="notBetween">
      <formula>-0.001</formula>
      <formula>0.001</formula>
    </cfRule>
  </conditionalFormatting>
  <dataValidations disablePrompts="1" count="1">
    <dataValidation type="list" allowBlank="1" showInputMessage="1" showErrorMessage="1" sqref="G21" xr:uid="{A97D2F7B-FDA4-407E-92F3-17F2D0816A54}">
      <formula1>$N$48:$Q$48</formula1>
    </dataValidation>
  </dataValidations>
  <pageMargins left="0.7" right="0.7" top="0.78740157499999996" bottom="0.78740157499999996" header="0.3" footer="0.3"/>
  <pageSetup orientation="portrait" horizontalDpi="4294967295" verticalDpi="4294967295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Button 1">
              <controlPr defaultSize="0" print="0" autoFill="0" autoPict="0">
                <anchor moveWithCells="1" sizeWithCells="1">
                  <from>
                    <xdr:col>13</xdr:col>
                    <xdr:colOff>99060</xdr:colOff>
                    <xdr:row>2</xdr:row>
                    <xdr:rowOff>152400</xdr:rowOff>
                  </from>
                  <to>
                    <xdr:col>15</xdr:col>
                    <xdr:colOff>335280</xdr:colOff>
                    <xdr:row>6</xdr:row>
                    <xdr:rowOff>60960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5A98ECA1EC044BB77E0D7F6ADEF7BC" ma:contentTypeVersion="18" ma:contentTypeDescription="Crear nuevo documento." ma:contentTypeScope="" ma:versionID="5e88349ac6f5efd4674595e2a92e1fa9">
  <xsd:schema xmlns:xsd="http://www.w3.org/2001/XMLSchema" xmlns:xs="http://www.w3.org/2001/XMLSchema" xmlns:p="http://schemas.microsoft.com/office/2006/metadata/properties" xmlns:ns3="2278e7f3-5df8-4100-b836-5320443b7544" xmlns:ns4="3fb9cbd1-4a98-4945-a235-2d8a3d5ec2be" targetNamespace="http://schemas.microsoft.com/office/2006/metadata/properties" ma:root="true" ma:fieldsID="bde21b231255bb48ab8a6ec7dd561648" ns3:_="" ns4:_="">
    <xsd:import namespace="2278e7f3-5df8-4100-b836-5320443b7544"/>
    <xsd:import namespace="3fb9cbd1-4a98-4945-a235-2d8a3d5ec2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78e7f3-5df8-4100-b836-5320443b75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9cbd1-4a98-4945-a235-2d8a3d5ec2b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278e7f3-5df8-4100-b836-5320443b754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A7863D2-B6F1-4C67-B9E9-1F3A9276C4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78e7f3-5df8-4100-b836-5320443b7544"/>
    <ds:schemaRef ds:uri="3fb9cbd1-4a98-4945-a235-2d8a3d5ec2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D3A318F-BD98-4749-9B6A-DFC991AC8E75}">
  <ds:schemaRefs>
    <ds:schemaRef ds:uri="http://purl.org/dc/elements/1.1/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3fb9cbd1-4a98-4945-a235-2d8a3d5ec2be"/>
    <ds:schemaRef ds:uri="2278e7f3-5df8-4100-b836-5320443b7544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52E10DE4-EB42-4EC5-8AEE-EE77FE7979A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335</vt:i4>
      </vt:variant>
    </vt:vector>
  </HeadingPairs>
  <TitlesOfParts>
    <vt:vector size="340" baseType="lpstr">
      <vt:lpstr>Gap30deg</vt:lpstr>
      <vt:lpstr>Gap60deg</vt:lpstr>
      <vt:lpstr>Gap90deg</vt:lpstr>
      <vt:lpstr>Gap120deg</vt:lpstr>
      <vt:lpstr>AMD1</vt:lpstr>
      <vt:lpstr>Gap120deg!a</vt:lpstr>
      <vt:lpstr>Gap30deg!a</vt:lpstr>
      <vt:lpstr>Gap60deg!a</vt:lpstr>
      <vt:lpstr>Gap90deg!a</vt:lpstr>
      <vt:lpstr>Gap120deg!a_prime</vt:lpstr>
      <vt:lpstr>Gap30deg!a_prime</vt:lpstr>
      <vt:lpstr>Gap60deg!a_prime</vt:lpstr>
      <vt:lpstr>Gap90deg!a_prime</vt:lpstr>
      <vt:lpstr>Gap120deg!a_star</vt:lpstr>
      <vt:lpstr>Gap30deg!a_star</vt:lpstr>
      <vt:lpstr>Gap60deg!a_star</vt:lpstr>
      <vt:lpstr>Gap90deg!a_star</vt:lpstr>
      <vt:lpstr>Gap120deg!b</vt:lpstr>
      <vt:lpstr>Gap30deg!b</vt:lpstr>
      <vt:lpstr>Gap60deg!b</vt:lpstr>
      <vt:lpstr>Gap90deg!b</vt:lpstr>
      <vt:lpstr>Gap120deg!bolt.As</vt:lpstr>
      <vt:lpstr>Gap30deg!bolt.As</vt:lpstr>
      <vt:lpstr>Gap60deg!bolt.As</vt:lpstr>
      <vt:lpstr>Gap90deg!bolt.As</vt:lpstr>
      <vt:lpstr>Gap120deg!bolt.axial_stiffness</vt:lpstr>
      <vt:lpstr>Gap30deg!bolt.axial_stiffness</vt:lpstr>
      <vt:lpstr>Gap60deg!bolt.axial_stiffness</vt:lpstr>
      <vt:lpstr>Gap90deg!bolt.axial_stiffness</vt:lpstr>
      <vt:lpstr>Gap120deg!bolt.bending_stiffness</vt:lpstr>
      <vt:lpstr>Gap30deg!bolt.bending_stiffness</vt:lpstr>
      <vt:lpstr>Gap60deg!bolt.bending_stiffness</vt:lpstr>
      <vt:lpstr>Gap90deg!bolt.bending_stiffness</vt:lpstr>
      <vt:lpstr>Gap120deg!bolt.Dn</vt:lpstr>
      <vt:lpstr>Gap30deg!bolt.Dn</vt:lpstr>
      <vt:lpstr>Gap60deg!bolt.Dn</vt:lpstr>
      <vt:lpstr>Gap90deg!bolt.Dn</vt:lpstr>
      <vt:lpstr>Gap120deg!bolt.Dsh</vt:lpstr>
      <vt:lpstr>Gap30deg!bolt.Dsh</vt:lpstr>
      <vt:lpstr>Gap60deg!bolt.Dsh</vt:lpstr>
      <vt:lpstr>Gap90deg!bolt.Dsh</vt:lpstr>
      <vt:lpstr>Gap120deg!bolt.E</vt:lpstr>
      <vt:lpstr>Gap30deg!bolt.E</vt:lpstr>
      <vt:lpstr>Gap60deg!bolt.E</vt:lpstr>
      <vt:lpstr>Gap90deg!bolt.E</vt:lpstr>
      <vt:lpstr>Gap120deg!bolt.fu</vt:lpstr>
      <vt:lpstr>Gap30deg!bolt.fu</vt:lpstr>
      <vt:lpstr>Gap60deg!bolt.fu</vt:lpstr>
      <vt:lpstr>Gap90deg!bolt.fu</vt:lpstr>
      <vt:lpstr>Gap120deg!bolt.fy</vt:lpstr>
      <vt:lpstr>Gap30deg!bolt.fy</vt:lpstr>
      <vt:lpstr>Gap60deg!bolt.fy</vt:lpstr>
      <vt:lpstr>Gap90deg!bolt.fy</vt:lpstr>
      <vt:lpstr>Gap120deg!bolt.Lsh</vt:lpstr>
      <vt:lpstr>Gap30deg!bolt.Lsh</vt:lpstr>
      <vt:lpstr>Gap60deg!bolt.Lsh</vt:lpstr>
      <vt:lpstr>Gap90deg!bolt.Lsh</vt:lpstr>
      <vt:lpstr>Gap120deg!bolt.pitch</vt:lpstr>
      <vt:lpstr>Gap30deg!bolt.pitch</vt:lpstr>
      <vt:lpstr>Gap60deg!bolt.pitch</vt:lpstr>
      <vt:lpstr>Gap90deg!bolt.pitch</vt:lpstr>
      <vt:lpstr>Gap120deg!bolt.pretension</vt:lpstr>
      <vt:lpstr>Gap30deg!bolt.pretension</vt:lpstr>
      <vt:lpstr>Gap60deg!bolt.pretension</vt:lpstr>
      <vt:lpstr>Gap90deg!bolt.pretension</vt:lpstr>
      <vt:lpstr>Gap120deg!bolt.size</vt:lpstr>
      <vt:lpstr>Gap30deg!bolt.size</vt:lpstr>
      <vt:lpstr>Gap60deg!bolt.size</vt:lpstr>
      <vt:lpstr>Gap90deg!bolt.size</vt:lpstr>
      <vt:lpstr>'AMD1'!case_number</vt:lpstr>
      <vt:lpstr>Gap120deg!central_angle</vt:lpstr>
      <vt:lpstr>Gap30deg!central_angle</vt:lpstr>
      <vt:lpstr>Gap60deg!central_angle</vt:lpstr>
      <vt:lpstr>Gap90deg!central_angle</vt:lpstr>
      <vt:lpstr>Gap120deg!clamped_parts_stiffness</vt:lpstr>
      <vt:lpstr>Gap30deg!clamped_parts_stiffness</vt:lpstr>
      <vt:lpstr>Gap60deg!clamped_parts_stiffness</vt:lpstr>
      <vt:lpstr>Gap90deg!clamped_parts_stiffness</vt:lpstr>
      <vt:lpstr>Gap120deg!dataseries.Fs</vt:lpstr>
      <vt:lpstr>Gap30deg!dataseries.Fs</vt:lpstr>
      <vt:lpstr>Gap60deg!dataseries.Fs</vt:lpstr>
      <vt:lpstr>Gap90deg!dataseries.Fs</vt:lpstr>
      <vt:lpstr>Gap120deg!dataseries.Ms</vt:lpstr>
      <vt:lpstr>Gap30deg!dataseries.Ms</vt:lpstr>
      <vt:lpstr>Gap60deg!dataseries.Ms</vt:lpstr>
      <vt:lpstr>Gap90deg!dataseries.Ms</vt:lpstr>
      <vt:lpstr>Gap120deg!dataseries.Z</vt:lpstr>
      <vt:lpstr>Gap30deg!dataseries.Z</vt:lpstr>
      <vt:lpstr>Gap60deg!dataseries.Z</vt:lpstr>
      <vt:lpstr>Gap90deg!dataseries.Z</vt:lpstr>
      <vt:lpstr>Gap120deg!Do</vt:lpstr>
      <vt:lpstr>Gap30deg!Do</vt:lpstr>
      <vt:lpstr>Gap60deg!Do</vt:lpstr>
      <vt:lpstr>Gap90deg!Do</vt:lpstr>
      <vt:lpstr>Gap120deg!Dw</vt:lpstr>
      <vt:lpstr>Gap30deg!Dw</vt:lpstr>
      <vt:lpstr>Gap60deg!Dw</vt:lpstr>
      <vt:lpstr>Gap90deg!Dw</vt:lpstr>
      <vt:lpstr>Gap120deg!DZ_gap</vt:lpstr>
      <vt:lpstr>Gap30deg!DZ_gap</vt:lpstr>
      <vt:lpstr>Gap60deg!DZ_gap</vt:lpstr>
      <vt:lpstr>Gap90deg!DZ_gap</vt:lpstr>
      <vt:lpstr>Gap120deg!DZ_gap_inclination</vt:lpstr>
      <vt:lpstr>Gap30deg!DZ_gap_inclination</vt:lpstr>
      <vt:lpstr>Gap60deg!DZ_gap_inclination</vt:lpstr>
      <vt:lpstr>Gap90deg!DZ_gap_inclination</vt:lpstr>
      <vt:lpstr>Gap120deg!DZ_gap_tot</vt:lpstr>
      <vt:lpstr>Gap30deg!DZ_gap_tot</vt:lpstr>
      <vt:lpstr>Gap60deg!DZ_gap_tot</vt:lpstr>
      <vt:lpstr>Gap90deg!DZ_gap_tot</vt:lpstr>
      <vt:lpstr>Gap120deg!E_mod</vt:lpstr>
      <vt:lpstr>Gap30deg!E_mod</vt:lpstr>
      <vt:lpstr>Gap60deg!E_mod</vt:lpstr>
      <vt:lpstr>Gap90deg!E_mod</vt:lpstr>
      <vt:lpstr>Gap120deg!flange.A_cf</vt:lpstr>
      <vt:lpstr>Gap30deg!flange.A_cf</vt:lpstr>
      <vt:lpstr>Gap60deg!flange.A_cf</vt:lpstr>
      <vt:lpstr>Gap90deg!flange.A_cf</vt:lpstr>
      <vt:lpstr>Gap120deg!flange.I_cf</vt:lpstr>
      <vt:lpstr>Gap30deg!flange.I_cf</vt:lpstr>
      <vt:lpstr>Gap60deg!flange.I_cf</vt:lpstr>
      <vt:lpstr>Gap90deg!flange.I_cf</vt:lpstr>
      <vt:lpstr>Gap120deg!Fs_coeff.comp.0</vt:lpstr>
      <vt:lpstr>Gap30deg!Fs_coeff.comp.0</vt:lpstr>
      <vt:lpstr>Gap60deg!Fs_coeff.comp.0</vt:lpstr>
      <vt:lpstr>Gap90deg!Fs_coeff.comp.0</vt:lpstr>
      <vt:lpstr>Gap120deg!Fs_coeff.comp.1</vt:lpstr>
      <vt:lpstr>Gap30deg!Fs_coeff.comp.1</vt:lpstr>
      <vt:lpstr>Gap60deg!Fs_coeff.comp.1</vt:lpstr>
      <vt:lpstr>Gap90deg!Fs_coeff.comp.1</vt:lpstr>
      <vt:lpstr>Gap120deg!Fs_coeff.comp.2</vt:lpstr>
      <vt:lpstr>Gap30deg!Fs_coeff.comp.2</vt:lpstr>
      <vt:lpstr>Gap60deg!Fs_coeff.comp.2</vt:lpstr>
      <vt:lpstr>Gap90deg!Fs_coeff.comp.2</vt:lpstr>
      <vt:lpstr>Gap120deg!Fs_coeff.const</vt:lpstr>
      <vt:lpstr>Gap30deg!Fs_coeff.const</vt:lpstr>
      <vt:lpstr>Gap60deg!Fs_coeff.const</vt:lpstr>
      <vt:lpstr>Gap90deg!Fs_coeff.const</vt:lpstr>
      <vt:lpstr>Gap120deg!Fs_coeff.tens.0</vt:lpstr>
      <vt:lpstr>Gap30deg!Fs_coeff.tens.0</vt:lpstr>
      <vt:lpstr>Gap60deg!Fs_coeff.tens.0</vt:lpstr>
      <vt:lpstr>Gap90deg!Fs_coeff.tens.0</vt:lpstr>
      <vt:lpstr>Gap120deg!Fs_coeff.tens.1</vt:lpstr>
      <vt:lpstr>Gap30deg!Fs_coeff.tens.1</vt:lpstr>
      <vt:lpstr>Gap60deg!Fs_coeff.tens.1</vt:lpstr>
      <vt:lpstr>Gap90deg!Fs_coeff.tens.1</vt:lpstr>
      <vt:lpstr>Gap120deg!Fs_coeff.tens.2</vt:lpstr>
      <vt:lpstr>Gap30deg!Fs_coeff.tens.2</vt:lpstr>
      <vt:lpstr>Gap60deg!Fs_coeff.tens.2</vt:lpstr>
      <vt:lpstr>Gap90deg!Fs_coeff.tens.2</vt:lpstr>
      <vt:lpstr>Gap120deg!G_mod</vt:lpstr>
      <vt:lpstr>Gap30deg!G_mod</vt:lpstr>
      <vt:lpstr>Gap60deg!G_mod</vt:lpstr>
      <vt:lpstr>Gap90deg!G_mod</vt:lpstr>
      <vt:lpstr>Gap120deg!gap.angle</vt:lpstr>
      <vt:lpstr>Gap30deg!gap.angle</vt:lpstr>
      <vt:lpstr>Gap60deg!gap.angle</vt:lpstr>
      <vt:lpstr>Gap90deg!gap.angle</vt:lpstr>
      <vt:lpstr>Gap120deg!gap.COV</vt:lpstr>
      <vt:lpstr>Gap30deg!gap.COV</vt:lpstr>
      <vt:lpstr>Gap60deg!gap.COV</vt:lpstr>
      <vt:lpstr>Gap90deg!gap.COV</vt:lpstr>
      <vt:lpstr>Gap120deg!gap.h</vt:lpstr>
      <vt:lpstr>Gap30deg!gap.h</vt:lpstr>
      <vt:lpstr>Gap60deg!gap.h</vt:lpstr>
      <vt:lpstr>Gap90deg!gap.h</vt:lpstr>
      <vt:lpstr>Gap120deg!gap.k_fac</vt:lpstr>
      <vt:lpstr>Gap30deg!gap.k_fac</vt:lpstr>
      <vt:lpstr>Gap60deg!gap.k_fac</vt:lpstr>
      <vt:lpstr>Gap90deg!gap.k_fac</vt:lpstr>
      <vt:lpstr>Gap120deg!gap.k_fl</vt:lpstr>
      <vt:lpstr>Gap30deg!gap.k_fl</vt:lpstr>
      <vt:lpstr>Gap60deg!gap.k_fl</vt:lpstr>
      <vt:lpstr>Gap90deg!gap.k_fl</vt:lpstr>
      <vt:lpstr>Gap120deg!gap.k_mean</vt:lpstr>
      <vt:lpstr>Gap30deg!gap.k_mean</vt:lpstr>
      <vt:lpstr>Gap60deg!gap.k_mean</vt:lpstr>
      <vt:lpstr>Gap90deg!gap.k_mean</vt:lpstr>
      <vt:lpstr>Gap120deg!gap.k_shell</vt:lpstr>
      <vt:lpstr>Gap30deg!gap.k_shell</vt:lpstr>
      <vt:lpstr>Gap60deg!gap.k_shell</vt:lpstr>
      <vt:lpstr>Gap90deg!gap.k_shell</vt:lpstr>
      <vt:lpstr>Gap120deg!gap.L</vt:lpstr>
      <vt:lpstr>Gap30deg!gap.L</vt:lpstr>
      <vt:lpstr>Gap60deg!gap.L</vt:lpstr>
      <vt:lpstr>Gap90deg!gap.L</vt:lpstr>
      <vt:lpstr>Gap120deg!gap.stiffness</vt:lpstr>
      <vt:lpstr>Gap30deg!gap.stiffness</vt:lpstr>
      <vt:lpstr>Gap60deg!gap.stiffness</vt:lpstr>
      <vt:lpstr>Gap90deg!gap.stiffness</vt:lpstr>
      <vt:lpstr>'AMD1'!gap_angle</vt:lpstr>
      <vt:lpstr>Gap120deg!I_tg</vt:lpstr>
      <vt:lpstr>Gap30deg!I_tg</vt:lpstr>
      <vt:lpstr>Gap60deg!I_tg</vt:lpstr>
      <vt:lpstr>Gap90deg!I_tg</vt:lpstr>
      <vt:lpstr>Gap120deg!k_seg</vt:lpstr>
      <vt:lpstr>Gap30deg!k_seg</vt:lpstr>
      <vt:lpstr>Gap60deg!k_seg</vt:lpstr>
      <vt:lpstr>Gap90deg!k_seg</vt:lpstr>
      <vt:lpstr>Gap120deg!Ms_coeff.comp.0</vt:lpstr>
      <vt:lpstr>Gap30deg!Ms_coeff.comp.0</vt:lpstr>
      <vt:lpstr>Gap60deg!Ms_coeff.comp.0</vt:lpstr>
      <vt:lpstr>Gap90deg!Ms_coeff.comp.0</vt:lpstr>
      <vt:lpstr>Gap120deg!Ms_coeff.comp.1</vt:lpstr>
      <vt:lpstr>Gap30deg!Ms_coeff.comp.1</vt:lpstr>
      <vt:lpstr>Gap60deg!Ms_coeff.comp.1</vt:lpstr>
      <vt:lpstr>Gap90deg!Ms_coeff.comp.1</vt:lpstr>
      <vt:lpstr>Gap120deg!Ms_coeff.comp.2</vt:lpstr>
      <vt:lpstr>Gap30deg!Ms_coeff.comp.2</vt:lpstr>
      <vt:lpstr>Gap60deg!Ms_coeff.comp.2</vt:lpstr>
      <vt:lpstr>Gap90deg!Ms_coeff.comp.2</vt:lpstr>
      <vt:lpstr>Gap120deg!Ms_coeff.const</vt:lpstr>
      <vt:lpstr>Gap30deg!Ms_coeff.const</vt:lpstr>
      <vt:lpstr>Gap60deg!Ms_coeff.const</vt:lpstr>
      <vt:lpstr>Gap90deg!Ms_coeff.const</vt:lpstr>
      <vt:lpstr>Gap120deg!Ms_coeff.tens.0</vt:lpstr>
      <vt:lpstr>Gap30deg!Ms_coeff.tens.0</vt:lpstr>
      <vt:lpstr>Gap60deg!Ms_coeff.tens.0</vt:lpstr>
      <vt:lpstr>Gap90deg!Ms_coeff.tens.0</vt:lpstr>
      <vt:lpstr>Gap120deg!Ms_coeff.tens.1</vt:lpstr>
      <vt:lpstr>Gap30deg!Ms_coeff.tens.1</vt:lpstr>
      <vt:lpstr>Gap60deg!Ms_coeff.tens.1</vt:lpstr>
      <vt:lpstr>Gap90deg!Ms_coeff.tens.1</vt:lpstr>
      <vt:lpstr>Gap120deg!Ms_coeff.tens.2</vt:lpstr>
      <vt:lpstr>Gap30deg!Ms_coeff.tens.2</vt:lpstr>
      <vt:lpstr>Gap60deg!Ms_coeff.tens.2</vt:lpstr>
      <vt:lpstr>Gap90deg!Ms_coeff.tens.2</vt:lpstr>
      <vt:lpstr>Gap120deg!point1.Fs</vt:lpstr>
      <vt:lpstr>Gap30deg!point1.Fs</vt:lpstr>
      <vt:lpstr>Gap60deg!point1.Fs</vt:lpstr>
      <vt:lpstr>Gap90deg!point1.Fs</vt:lpstr>
      <vt:lpstr>Gap120deg!point1.Ms</vt:lpstr>
      <vt:lpstr>Gap30deg!point1.Ms</vt:lpstr>
      <vt:lpstr>Gap60deg!point1.Ms</vt:lpstr>
      <vt:lpstr>Gap90deg!point1.Ms</vt:lpstr>
      <vt:lpstr>Gap120deg!point1.Z</vt:lpstr>
      <vt:lpstr>Gap30deg!point1.Z</vt:lpstr>
      <vt:lpstr>Gap60deg!point1.Z</vt:lpstr>
      <vt:lpstr>Gap90deg!point1.Z</vt:lpstr>
      <vt:lpstr>Gap120deg!point2.Fs</vt:lpstr>
      <vt:lpstr>Gap30deg!point2.Fs</vt:lpstr>
      <vt:lpstr>Gap60deg!point2.Fs</vt:lpstr>
      <vt:lpstr>Gap90deg!point2.Fs</vt:lpstr>
      <vt:lpstr>Gap120deg!point2.Ms</vt:lpstr>
      <vt:lpstr>Gap30deg!point2.Ms</vt:lpstr>
      <vt:lpstr>Gap60deg!point2.Ms</vt:lpstr>
      <vt:lpstr>Gap90deg!point2.Ms</vt:lpstr>
      <vt:lpstr>Gap120deg!point2.Z</vt:lpstr>
      <vt:lpstr>Gap30deg!point2.Z</vt:lpstr>
      <vt:lpstr>Gap60deg!point2.Z</vt:lpstr>
      <vt:lpstr>Gap90deg!point2.Z</vt:lpstr>
      <vt:lpstr>Gap120deg!point3.Fs</vt:lpstr>
      <vt:lpstr>Gap30deg!point3.Fs</vt:lpstr>
      <vt:lpstr>Gap60deg!point3.Fs</vt:lpstr>
      <vt:lpstr>Gap90deg!point3.Fs</vt:lpstr>
      <vt:lpstr>Gap120deg!point3.Ms</vt:lpstr>
      <vt:lpstr>Gap30deg!point3.Ms</vt:lpstr>
      <vt:lpstr>Gap60deg!point3.Ms</vt:lpstr>
      <vt:lpstr>Gap90deg!point3.Ms</vt:lpstr>
      <vt:lpstr>Gap120deg!point3.Z</vt:lpstr>
      <vt:lpstr>Gap30deg!point3.Z</vt:lpstr>
      <vt:lpstr>Gap60deg!point3.Z</vt:lpstr>
      <vt:lpstr>Gap90deg!point3.Z</vt:lpstr>
      <vt:lpstr>Gap120deg!point4.Fs</vt:lpstr>
      <vt:lpstr>Gap30deg!point4.Fs</vt:lpstr>
      <vt:lpstr>Gap60deg!point4.Fs</vt:lpstr>
      <vt:lpstr>Gap90deg!point4.Fs</vt:lpstr>
      <vt:lpstr>Gap120deg!point4.Ms</vt:lpstr>
      <vt:lpstr>Gap30deg!point4.Ms</vt:lpstr>
      <vt:lpstr>Gap60deg!point4.Ms</vt:lpstr>
      <vt:lpstr>Gap90deg!point4.Ms</vt:lpstr>
      <vt:lpstr>Gap120deg!point4.Z</vt:lpstr>
      <vt:lpstr>Gap30deg!point4.Z</vt:lpstr>
      <vt:lpstr>Gap60deg!point4.Z</vt:lpstr>
      <vt:lpstr>Gap90deg!point4.Z</vt:lpstr>
      <vt:lpstr>Gap120deg!polynomial_initial_slope</vt:lpstr>
      <vt:lpstr>Gap30deg!polynomial_initial_slope</vt:lpstr>
      <vt:lpstr>Gap60deg!polynomial_initial_slope</vt:lpstr>
      <vt:lpstr>Gap90deg!polynomial_initial_slope</vt:lpstr>
      <vt:lpstr>Gap120deg!Print_Area</vt:lpstr>
      <vt:lpstr>Gap30deg!Print_Area</vt:lpstr>
      <vt:lpstr>Gap60deg!Print_Area</vt:lpstr>
      <vt:lpstr>Gap90deg!Print_Area</vt:lpstr>
      <vt:lpstr>Gap120deg!Radius</vt:lpstr>
      <vt:lpstr>Gap30deg!Radius</vt:lpstr>
      <vt:lpstr>Gap60deg!Radius</vt:lpstr>
      <vt:lpstr>Gap90deg!Radius</vt:lpstr>
      <vt:lpstr>'AMD1'!sheet_name</vt:lpstr>
      <vt:lpstr>Gap120deg!shell_thickness</vt:lpstr>
      <vt:lpstr>Gap30deg!shell_thickness</vt:lpstr>
      <vt:lpstr>Gap60deg!shell_thickness</vt:lpstr>
      <vt:lpstr>Gap90deg!shell_thickness</vt:lpstr>
      <vt:lpstr>Gap120deg!stiffness_correction_factor</vt:lpstr>
      <vt:lpstr>Gap30deg!stiffness_correction_factor</vt:lpstr>
      <vt:lpstr>Gap60deg!stiffness_correction_factor</vt:lpstr>
      <vt:lpstr>Gap90deg!stiffness_correction_factor</vt:lpstr>
      <vt:lpstr>Gap120deg!t</vt:lpstr>
      <vt:lpstr>Gap30deg!t</vt:lpstr>
      <vt:lpstr>Gap60deg!t</vt:lpstr>
      <vt:lpstr>Gap90deg!t</vt:lpstr>
      <vt:lpstr>Gap120deg!TemplateTitle</vt:lpstr>
      <vt:lpstr>Gap30deg!TemplateTitle</vt:lpstr>
      <vt:lpstr>Gap60deg!TemplateTitle</vt:lpstr>
      <vt:lpstr>Gap90deg!TemplateTitle</vt:lpstr>
      <vt:lpstr>Gap120deg!TemplateVersion</vt:lpstr>
      <vt:lpstr>Gap30deg!TemplateVersion</vt:lpstr>
      <vt:lpstr>Gap60deg!TemplateVersion</vt:lpstr>
      <vt:lpstr>Gap90deg!TemplateVersion</vt:lpstr>
      <vt:lpstr>Gap120deg!Title</vt:lpstr>
      <vt:lpstr>Gap30deg!Title</vt:lpstr>
      <vt:lpstr>Gap60deg!Title</vt:lpstr>
      <vt:lpstr>Gap90deg!Title</vt:lpstr>
      <vt:lpstr>Gap120deg!true_force_initial_slope</vt:lpstr>
      <vt:lpstr>Gap30deg!true_force_initial_slope</vt:lpstr>
      <vt:lpstr>Gap60deg!true_force_initial_slope</vt:lpstr>
      <vt:lpstr>Gap90deg!true_force_initial_slope</vt:lpstr>
      <vt:lpstr>Gap120deg!true_moment_initial_slope</vt:lpstr>
      <vt:lpstr>Gap30deg!true_moment_initial_slope</vt:lpstr>
      <vt:lpstr>Gap60deg!true_moment_initial_slope</vt:lpstr>
      <vt:lpstr>Gap90deg!true_moment_initial_slope</vt:lpstr>
      <vt:lpstr>Gap120deg!u</vt:lpstr>
      <vt:lpstr>Gap30deg!u</vt:lpstr>
      <vt:lpstr>Gap60deg!u</vt:lpstr>
      <vt:lpstr>Gap90deg!u</vt:lpstr>
      <vt:lpstr>Gap120deg!u_tol</vt:lpstr>
      <vt:lpstr>Gap30deg!u_tol</vt:lpstr>
      <vt:lpstr>Gap60deg!u_tol</vt:lpstr>
      <vt:lpstr>Gap90deg!u_tol</vt:lpstr>
      <vt:lpstr>Gap120deg!Z_2_td</vt:lpstr>
      <vt:lpstr>Gap30deg!Z_2_td</vt:lpstr>
      <vt:lpstr>Gap60deg!Z_2_td</vt:lpstr>
      <vt:lpstr>Gap90deg!Z_2_td</vt:lpstr>
      <vt:lpstr>Gap120deg!Z_dw</vt:lpstr>
      <vt:lpstr>Gap30deg!Z_dw</vt:lpstr>
      <vt:lpstr>Gap60deg!Z_dw</vt:lpstr>
      <vt:lpstr>Gap90deg!Z_dw</vt:lpstr>
      <vt:lpstr>Gap120deg!Z0</vt:lpstr>
      <vt:lpstr>Gap30deg!Z0</vt:lpstr>
      <vt:lpstr>Gap60deg!Z0</vt:lpstr>
      <vt:lpstr>Gap90deg!Z0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Seidel, Marc (SGRE OF S&amp;PR EN SUS)</dc:creator>
  <cp:lastModifiedBy>Del Buono, Marcello</cp:lastModifiedBy>
  <dcterms:created xsi:type="dcterms:W3CDTF">2024-03-07T08:42:31Z</dcterms:created>
  <dcterms:modified xsi:type="dcterms:W3CDTF">2024-06-18T09:03:14Z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13f521-439d-4e48-8e98-41ab6c596aa7_Enabled">
    <vt:lpwstr>true</vt:lpwstr>
  </property>
  <property fmtid="{D5CDD505-2E9C-101B-9397-08002B2CF9AE}" pid="3" name="MSIP_Label_6013f521-439d-4e48-8e98-41ab6c596aa7_SetDate">
    <vt:lpwstr>2024-03-07T08:43:42Z</vt:lpwstr>
  </property>
  <property fmtid="{D5CDD505-2E9C-101B-9397-08002B2CF9AE}" pid="4" name="MSIP_Label_6013f521-439d-4e48-8e98-41ab6c596aa7_Method">
    <vt:lpwstr>Standard</vt:lpwstr>
  </property>
  <property fmtid="{D5CDD505-2E9C-101B-9397-08002B2CF9AE}" pid="5" name="MSIP_Label_6013f521-439d-4e48-8e98-41ab6c596aa7_Name">
    <vt:lpwstr>6013f521-439d-4e48-8e98-41ab6c596aa7</vt:lpwstr>
  </property>
  <property fmtid="{D5CDD505-2E9C-101B-9397-08002B2CF9AE}" pid="6" name="MSIP_Label_6013f521-439d-4e48-8e98-41ab6c596aa7_SiteId">
    <vt:lpwstr>12f921d8-f30d-4596-a652-7045b338485a</vt:lpwstr>
  </property>
  <property fmtid="{D5CDD505-2E9C-101B-9397-08002B2CF9AE}" pid="7" name="MSIP_Label_6013f521-439d-4e48-8e98-41ab6c596aa7_ActionId">
    <vt:lpwstr>7234a3fb-e318-4358-a981-1b72456cf40e</vt:lpwstr>
  </property>
  <property fmtid="{D5CDD505-2E9C-101B-9397-08002B2CF9AE}" pid="8" name="MSIP_Label_6013f521-439d-4e48-8e98-41ab6c596aa7_ContentBits">
    <vt:lpwstr>0</vt:lpwstr>
  </property>
  <property fmtid="{D5CDD505-2E9C-101B-9397-08002B2CF9AE}" pid="9" name="ContentTypeId">
    <vt:lpwstr>0x0101004E5A98ECA1EC044BB77E0D7F6ADEF7BC</vt:lpwstr>
  </property>
</Properties>
</file>