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75450914-B0A7-4661-823D-743DEB1BF75E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0" i="16" a="1"/>
  <c r="F30" i="16" a="1"/>
  <c r="F104" i="16" a="1"/>
  <c r="F106" i="16" a="1"/>
  <c r="F71" i="16" a="1"/>
  <c r="F50" i="16" a="1"/>
  <c r="F72" i="16" a="1"/>
  <c r="F97" i="16" a="1"/>
  <c r="F107" i="16" a="1"/>
  <c r="F79" i="16" a="1"/>
  <c r="F93" i="16" a="1"/>
  <c r="F61" i="16" a="1"/>
  <c r="F68" i="16" a="1"/>
  <c r="F89" i="16" a="1"/>
  <c r="F76" i="16" a="1"/>
  <c r="F86" i="16" a="1"/>
  <c r="F87" i="16" a="1"/>
  <c r="F112" i="16" a="1"/>
  <c r="F37" i="16" a="1"/>
  <c r="F52" i="16" a="1"/>
  <c r="F113" i="16" a="1"/>
  <c r="F81" i="16" a="1"/>
  <c r="F69" i="16" a="1"/>
  <c r="F83" i="16" a="1"/>
  <c r="F67" i="16" a="1"/>
  <c r="F31" i="16" a="1"/>
  <c r="F48" i="16" a="1"/>
  <c r="F53" i="16" a="1"/>
  <c r="F95" i="16" a="1"/>
  <c r="F84" i="16" a="1"/>
  <c r="F99" i="16" a="1"/>
  <c r="F108" i="16" a="1"/>
  <c r="F82" i="16" a="1"/>
  <c r="F36" i="16" a="1"/>
  <c r="F109" i="16" a="1"/>
  <c r="F92" i="16" a="1"/>
  <c r="F29" i="16" a="1"/>
  <c r="F38" i="16" a="1"/>
  <c r="F117" i="16" a="1"/>
  <c r="F119" i="16" a="1"/>
  <c r="F100" i="16" a="1"/>
  <c r="F49" i="16" a="1"/>
  <c r="F77" i="16" a="1"/>
  <c r="F88" i="16" a="1"/>
  <c r="F101" i="16" a="1"/>
  <c r="F70" i="16" a="1"/>
  <c r="F78" i="16" a="1"/>
  <c r="F51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<sst xmlns="http://schemas.openxmlformats.org/spreadsheetml/2006/main" count="1677" uniqueCount="348">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</sst>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N117" sqref="N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">
        <v>101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">
        <v>103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">
        <v>102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30°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7"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60°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0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90°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8"/>
      <c r="C5" s="159"/>
      <c r="D5" s="159"/>
      <c r="E5" s="159"/>
      <c r="F5" s="159"/>
      <c r="G5" s="16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8"/>
      <c r="C6" s="159"/>
      <c r="D6" s="159"/>
      <c r="E6" s="159"/>
      <c r="F6" s="159"/>
      <c r="G6" s="16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8"/>
      <c r="C7" s="159"/>
      <c r="D7" s="159"/>
      <c r="E7" s="159"/>
      <c r="F7" s="159"/>
      <c r="G7" s="16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8"/>
      <c r="C8" s="159"/>
      <c r="D8" s="159"/>
      <c r="E8" s="159"/>
      <c r="F8" s="159"/>
      <c r="G8" s="16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8"/>
      <c r="C9" s="159"/>
      <c r="D9" s="159"/>
      <c r="E9" s="159"/>
      <c r="F9" s="159"/>
      <c r="G9" s="16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1" t="s">
        <v>100</v>
      </c>
      <c r="C13" s="161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1" t="s">
        <v>99</v>
      </c>
      <c r="C14" s="161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1" t="s">
        <v>98</v>
      </c>
      <c r="C15" s="161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1" t="s">
        <v>97</v>
      </c>
      <c r="C16" s="161"/>
      <c r="D16" s="163" t="str">
        <f>Title</f>
        <v>Flange Segment Analytical Model for 120° gap size and tilt 1 deg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1" t="s">
        <v>96</v>
      </c>
      <c r="C17" s="161"/>
      <c r="D17" s="163">
        <f>Gap30deg!D17</f>
        <v>0.6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1" t="s">
        <v>95</v>
      </c>
      <c r="C18" s="161"/>
      <c r="D18" s="162">
        <f>Gap30deg!D18</f>
        <v>45459</v>
      </c>
      <c r="E18" s="162"/>
      <c r="F18" s="162"/>
      <c r="G18" s="162"/>
      <c r="H18" s="162"/>
      <c r="I18" s="162"/>
      <c r="J18" s="162"/>
      <c r="K18" s="16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8"/>
      <c r="C28" s="169"/>
      <c r="D28" s="169"/>
      <c r="E28" s="169"/>
      <c r="F28" s="169"/>
      <c r="G28" s="169"/>
      <c r="H28" s="169"/>
      <c r="I28" s="169"/>
      <c r="J28" s="169"/>
      <c r="K28" s="17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108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121.65181485180494</v>
      </c>
      <c r="F71" s="107" cm="1">
        <f t="array" aca="1" ref="F71" ca="1">INDIRECT(sheet_name&amp;"!Point3.Z")</f>
        <v>121.65241674972603</v>
      </c>
      <c r="G71" s="118">
        <f t="shared" ca="1" si="4"/>
        <v>4.947710166261584E-6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2876.0242398505584</v>
      </c>
      <c r="F72" s="107" cm="1">
        <f t="array" aca="1" ref="F72" ca="1">INDIRECT(sheet_name&amp;"!Point3.Fs")</f>
        <v>2876.0242390725593</v>
      </c>
      <c r="G72" s="118">
        <f t="shared" ca="1" si="4"/>
        <v>-2.7051199274187E-10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1044943443.013836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176061.24052023687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392122.98724318645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1.6848877486846497E-4</v>
      </c>
      <c r="F76" s="146" cm="1">
        <f t="array" aca="1" ref="F76" ca="1">INDIRECT(sheet_name&amp;"!Fs_coeff.tens.2")*1000</f>
        <v>1.6848882872260633E-4</v>
      </c>
      <c r="G76" s="118">
        <f t="shared" ref="G76:G78" ca="1" si="5">(F76-E76)/E76</f>
        <v>3.1963044068231465E-7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3.7525761787855381E-4</v>
      </c>
      <c r="F77" s="146" cm="1">
        <f t="array" aca="1" ref="F77" ca="1">INDIRECT(sheet_name&amp;"!Fs_coeff.tens.1")</f>
        <v>3.7515287370911722E-4</v>
      </c>
      <c r="G77" s="118">
        <f t="shared" ca="1" si="5"/>
        <v>-2.7912603088176696E-4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2873.4850960593094</v>
      </c>
      <c r="F78" s="107" cm="1">
        <f t="array" aca="1" ref="F78" ca="1">INDIRECT(sheet_name&amp;"!Fs_coeff.tens.0")/1000</f>
        <v>2873.4850823265979</v>
      </c>
      <c r="G78" s="118">
        <f t="shared" ca="1" si="5"/>
        <v>-4.7791135375785108E-9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711.5482385942081</v>
      </c>
      <c r="F79" s="107" cm="1">
        <f t="array" aca="1" ref="F79" ca="1">-INDIRECT(sheet_name&amp;"!DZ_gap")</f>
        <v>711.5482401886353</v>
      </c>
      <c r="G79" s="118">
        <f ca="1">(F79-E79)/E79</f>
        <v>2.2407858204379207E-9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2764.1193483222332</v>
      </c>
      <c r="F84" s="111" cm="1">
        <f t="array" aca="1" ref="F84" ca="1">INDIRECT(sheet_name&amp;"!gap.stiffness")</f>
        <v>2764.1193545160336</v>
      </c>
      <c r="G84" s="118">
        <f ca="1">(F84-E84)/E84</f>
        <v>2.2407861474068708E-9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1050.2469446066798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1237.2237731143939</v>
      </c>
      <c r="F86" s="111" cm="1">
        <f t="array" aca="1" ref="F86" ca="1">INDIRECT(sheet_name&amp;"!gap.k_shell")</f>
        <v>1237.2237731143944</v>
      </c>
      <c r="G86" s="118">
        <f ca="1">(F86-E86)/E86</f>
        <v>3.6755464999007749E-16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1237.2237731143939</v>
      </c>
      <c r="F87" s="111" cm="1">
        <f t="array" aca="1" ref="F87" ca="1">INDIRECT(sheet_name&amp;"!gap.k_shell")</f>
        <v>1237.2237731143944</v>
      </c>
      <c r="G87" s="118">
        <f ca="1">(F87-E87)/E87</f>
        <v>3.6755464999007749E-16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2.4780972450961727</v>
      </c>
      <c r="F88" s="109" cm="1">
        <f t="array" aca="1" ref="F88" ca="1">INDIRECT(sheet_name&amp;"!gap.k_fac")</f>
        <v>2.4780972450961722</v>
      </c>
      <c r="G88" s="118">
        <f ca="1">(F88-E88)/E88</f>
        <v>-1.7920572355619077E-16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19.194112486621197</v>
      </c>
      <c r="F89" s="107" cm="1">
        <f t="array" aca="1" ref="F89" ca="1">INDIRECT(sheet_name&amp;"!gap.k_fl")</f>
        <v>19.194115301984201</v>
      </c>
      <c r="G89" s="118">
        <f ca="1">(F89-E89)/E89</f>
        <v>1.4667846747397061E-7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577.99584146472671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305.62241840367358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1.1763732220609038</v>
      </c>
      <c r="F97" s="109" cm="1">
        <f t="array" aca="1" ref="F97" ca="1">INDIRECT(sheet_name&amp;"!stiffness_correction_factor")</f>
        <v>1.1763790424146539</v>
      </c>
      <c r="G97" s="118">
        <f ca="1">(F97-E97)/E97</f>
        <v>4.947710166232574E-6</v>
      </c>
      <c r="I97" s="155">
        <f ca="1">F97</f>
        <v>1.1763790424146539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15671.989863448487</v>
      </c>
      <c r="F99" s="107" cm="1">
        <f t="array" aca="1" ref="F99" ca="1">INDIRECT(sheet_name&amp;"!k_seg")</f>
        <v>15671.472736640659</v>
      </c>
      <c r="G99" s="118">
        <f ca="1">(F99-E99)/E99</f>
        <v>-3.2996882484876801E-5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1356.7037850056067</v>
      </c>
      <c r="F100" s="111" cm="1">
        <f t="array" aca="1" ref="F100" ca="1">ROUND(INDIRECT(sheet_name&amp;"!Z_2_td"),0)</f>
        <v>1357</v>
      </c>
      <c r="G100" s="118">
        <f ca="1">(F100-E100)/E100</f>
        <v>2.1833431709047905E-4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0.44600495762306314</v>
      </c>
      <c r="F101" s="109" cm="1">
        <f t="array" aca="1" ref="F101" ca="1">INDIRECT(sheet_name&amp;"!u")</f>
        <v>0.44601967435768941</v>
      </c>
      <c r="G101" s="118">
        <f ca="1">(F101-E101)/E101</f>
        <v>3.2996796055150889E-5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0.44600495762306314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-4.1154417240252379E-2</v>
      </c>
      <c r="F107" s="113" cm="1">
        <f t="array" aca="1" ref="F107" ca="1">INDIRECT(sheet_name&amp;"!true_force_initial_slope")</f>
        <v>-4.1171384142140229E-2</v>
      </c>
      <c r="G107" s="118">
        <f ca="1">(F107-E107)/E107</f>
        <v>4.1227413788414222E-4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2876.0205772086201</v>
      </c>
      <c r="F108" s="108" cm="1">
        <f t="array" aca="1" ref="F108" ca="1">INDIRECT(sheet_name&amp;"!point4.Fs")</f>
        <v>2876.0205856920711</v>
      </c>
      <c r="G108" s="118">
        <f ca="1">(F108-E108)/E108</f>
        <v>2.9497184584507194E-9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0.10712821198176568</v>
      </c>
      <c r="F117" s="113" cm="1">
        <f t="array" aca="1" ref="F117" ca="1">INDIRECT(sheet_name&amp;"!true_moment_initial_slope")</f>
        <v>0.10706061617546644</v>
      </c>
      <c r="G117" s="118">
        <f ca="1">(F117-E117)/E117</f>
        <v>-6.3098043968795852E-4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-8.3417872223296538E-2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-29.066287061384749</v>
      </c>
      <c r="F119" s="108" cm="1">
        <f t="array" aca="1" ref="F119" ca="1">INDIRECT(sheet_name&amp;"!point4.Ms")</f>
        <v>-29.063829301803025</v>
      </c>
      <c r="G119" s="118">
        <f ca="1">(F119-E119)/E119</f>
        <v>-8.4557053211954371E-5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1.6994869152542752E-3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-87.722465386590997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-4.0009449196393994E-2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-4.3787352786899148E-3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-87.651315026020583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-4.8351236418723173E-2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-29.012722955393865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2726.2691969062412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28.702339992970927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5.2481621626934737E-4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0.23648666235304702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-7.8335329547297761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2024-09-06T14:32:33Z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