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E11BA4F3-DC51-4F15-A196-2F5C48A121CB}" xr6:coauthVersionLast="47" xr6:coauthVersionMax="47" xr10:uidLastSave="{00000000-0000-0000-0000-000000000000}"/>
  <bookViews>
    <workbookView xWindow="28680" yWindow="-11130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6" l="1"/>
  <c r="C1" i="16" s="1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G22" i="16"/>
  <c r="G23" i="16"/>
  <c r="E120" i="16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67" i="16" a="1"/>
  <c r="F68" i="16" a="1"/>
  <c r="F78" i="16" a="1"/>
  <c r="F106" i="16" a="1"/>
  <c r="F88" i="16" a="1"/>
  <c r="F53" i="16" a="1"/>
  <c r="F82" i="16" a="1"/>
  <c r="F52" i="16" a="1"/>
  <c r="F29" i="16" a="1"/>
  <c r="F99" i="16" a="1"/>
  <c r="F92" i="16" a="1"/>
  <c r="F30" i="16" a="1"/>
  <c r="F117" i="16" a="1"/>
  <c r="F89" i="16" a="1"/>
  <c r="F84" i="16" a="1"/>
  <c r="F113" i="16" a="1"/>
  <c r="F81" i="16" a="1"/>
  <c r="F93" i="16" a="1"/>
  <c r="F86" i="16" a="1"/>
  <c r="F107" i="16" a="1"/>
  <c r="F77" i="16" a="1"/>
  <c r="F38" i="16" a="1"/>
  <c r="F83" i="16" a="1"/>
  <c r="F87" i="16" a="1"/>
  <c r="F108" i="16" a="1"/>
  <c r="F36" i="16" a="1"/>
  <c r="F48" i="16" a="1"/>
  <c r="F69" i="16" a="1"/>
  <c r="F31" i="16" a="1"/>
  <c r="F60" i="16" a="1"/>
  <c r="F37" i="16" a="1"/>
  <c r="F119" i="16" a="1"/>
  <c r="F70" i="16" a="1"/>
  <c r="F100" i="16" a="1"/>
  <c r="F50" i="16" a="1"/>
  <c r="F112" i="16" a="1"/>
  <c r="F104" i="16" a="1"/>
  <c r="F72" i="16" a="1"/>
  <c r="F79" i="16" a="1"/>
  <c r="F101" i="16" a="1"/>
  <c r="F97" i="16" a="1"/>
  <c r="F76" i="16" a="1"/>
  <c r="F61" i="16" a="1"/>
  <c r="F51" i="16" a="1"/>
  <c r="F71" i="16" a="1"/>
  <c r="F95" i="16" a="1"/>
  <c r="F49" i="16" a="1"/>
  <c r="F93" i="16" l="1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<sst xmlns="http://schemas.openxmlformats.org/spreadsheetml/2006/main" count="1612" uniqueCount="351">
  <si>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</si>
  <si>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</si>
  <si>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</si>
  <si>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</si>
  <si>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</si>
  <si>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</si>
  <si>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</si>
  <si>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</si>
  <si>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</si>
  <si>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</si>
  <si>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</si>
  <si>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</si>
  <si>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</si>
  <si>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</si>
  <si>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</si>
  <si>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</si>
  <si>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</si>
  <si>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</si>
  <si>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</si>
  <si>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</si>
  <si>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</si>
  <si>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</si>
  <si>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</si>
  <si>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</si>
  <si>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</si>
  <si>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</si>
  <si>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</si>
  <si>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</si>
  <si>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</si>
  <si>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</si>
  <si>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</si>
  <si>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</si>
  <si>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</si>
  <si>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</si>
  <si>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</si>
  <si>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</si>
  <si>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</si>
  <si>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</si>
  <si>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</si>
  <si>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</si>
  <si>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</si>
  <si>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</si>
  <si>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</si>
  <si>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</si>
  <si>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</si>
  <si>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</si>
  <si>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</si>
  <si>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</si>
  <si>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</si>
  <si>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</si>
  <si>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</si>
  <si>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</si>
  <si>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</si>
  <si>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</si>
  <si>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</si>
  <si>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</si>
  <si>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</si>
  <si>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</si>
  <si>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</si>
  <si>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</si>
  <si>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</si>
  <si>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</si>
  <si>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</si>
  <si>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</si>
  <si>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</si>
  <si>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</si>
  <si>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</si>
  <si>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</si>
  <si>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</si>
  <si>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</si>
  <si>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</si>
  <si>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</si>
  <si>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</si>
  <si>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</si>
  <si>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</si>
  <si>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</si>
  <si>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</si>
  <si>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</si>
  <si>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</si>
  <si>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</si>
  <si>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</si>
  <si>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</si>
  <si>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</si>
  <si>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</si>
  <si>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</si>
  <si>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</si>
  <si>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</si>
  <si>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</si>
  <si>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</si>
  <si>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</si>
  <si>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</si>
  <si>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</si>
  <si>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</si>
  <si>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</si>
  <si>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</si>
  <si>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</si>
  <si>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</si>
  <si>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</si>
  <si>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</si>
  <si>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</si>
  <si>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</si>
  <si>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</si>
  <si>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</si>
  <si>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</si>
  <si>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</si>
  <si>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</si>
  <si>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</si>
  <si>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</si>
  <si>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</si>
  <si>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</si>
  <si>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</si>
  <si>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</si>
  <si>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</si>
  <si>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</si>
  <si>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</si>
  <si>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</si>
  <si>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</si>
  <si>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</si>
  <si>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</si>
  <si>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</si>
  <si>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</si>
  <si>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</si>
  <si>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</si>
  <si>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</si>
  <si>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</si>
  <si>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</si>
  <si>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</si>
  <si>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</si>
  <si>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</si>
  <si>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</si>
  <si>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</si>
  <si>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</si>
  <si>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</si>
  <si>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</si>
  <si>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</si>
  <si>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</si>
  <si>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</si>
  <si>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</si>
  <si>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</si>
  <si>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</si>
  <si>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</si>
  <si>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</si>
  <si>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</si>
  <si>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</si>
  <si>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</si>
  <si>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</si>
  <si>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</si>
  <si>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</si>
  <si>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</si>
  <si>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</si>
  <si>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</si>
  <si>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</si>
  <si>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</si>
  <si>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</si>
  <si>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</si>
  <si>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</si>
  <si>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</si>
  <si>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</si>
  <si>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</si>
  <si>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</si>
  <si>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</si>
  <si>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</si>
  <si>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</si>
  <si>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</si>
  <si>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</si>
  <si>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</si>
  <si>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</si>
  <si>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</si>
  <si>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</si>
  <si>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</si>
  <si>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</si>
  <si>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</si>
  <si>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</si>
  <si>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</si>
  <si>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</si>
  <si>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</si>
  <si>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</si>
  <si>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</si>
  <si>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</si>
  <si>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</si>
  <si>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</si>
  <si>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</si>
  <si>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</si>
  <si>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</si>
  <si>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</si>
  <si>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</si>
  <si>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</si>
  <si>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</si>
  <si>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</si>
  <si>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</si>
  <si>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</si>
  <si>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</si>
  <si>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</si>
  <si>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</si>
  <si>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</si>
  <si>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</si>
  <si>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</si>
  <si>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</si>
  <si>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</si>
  <si>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</si>
  <si>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</si>
  <si>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</si>
  <si>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</si>
  <si>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</si>
  <si>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</si>
  <si>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</si>
  <si>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</si>
  <si>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</si>
  <si>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</si>
  <si>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</si>
  <si>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</si>
  <si>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</si>
  <si>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</si>
  <si>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</si>
  <si>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</si>
  <si>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</si>
  <si>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</si>
  <si>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</si>
  <si>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</si>
  <si>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</si>
  <si>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</si>
  <si>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</si>
  <si>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</si>
  <si>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</si>
  <si>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</si>
  <si>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</si>
  <si>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</si>
  <si>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</si>
  <si>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</si>
  <si>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</si>
  <si>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</si>
  <si>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</si>
  <si>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</si>
  <si>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</si>
  <si>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</si>
  <si>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</si>
  <si>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</si>
  <si>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</si>
  <si>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</si>
  <si>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</si>
  <si>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</si>
  <si>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</si>
  <si>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</si>
  <si>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</si>
  <si>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</si>
  <si>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</si>
  <si>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</si>
  <si>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</si>
  <si>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</si>
  <si>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</si>
  <si>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</si>
  <si>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</si>
  <si>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</si>
  <si>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</si>
  <si>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</si>
  <si>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</si>
  <si>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</si>
  <si>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</si>
  <si>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</si>
  <si>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</si>
  <si>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</si>
  <si>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</si>
  <si>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</si>
  <si>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</si>
  <si>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</si>
  <si>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</si>
  <si>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</si>
  <si>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</si>
  <si>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</si>
  <si>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</si>
  <si>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</si>
  <si>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</si>
  <si>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</si>
  <si>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</si>
  <si>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</si>
  <si>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</si>
  <si>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</si>
  <si>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</si>
  <si>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</si>
  <si>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</si>
  <si>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</si>
  <si>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</si>
  <si>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</si>
  <si>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</si>
  <si>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</si>
  <si>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</si>
  <si>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</si>
  <si>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</si>
  <si>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</si>
  <si>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</si>
  <si>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</si>
  <si>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</si>
  <si>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</si>
  <si>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</si>
  <si>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</si>
  <si>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</si>
  <si>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</si>
  <si>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</si>
  <si>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</si>
  <si>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</si>
  <si>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</si>
  <si>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</si>
  <si>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</si>
  <si>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</si>
  <si>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</si>
  <si>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</si>
  <si>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</si>
  <si>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</si>
  <si>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</si>
  <si>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</si>
  <si>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</si>
  <si>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</si>
  <si>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</si>
  <si>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</si>
  <si>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</si>
  <si>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</si>
  <si>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</si>
  <si>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</si>
  <si>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</si>
  <si>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</si>
  <si>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</si>
  <si>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</si>
  <si>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</si>
  <si>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</si>
  <si>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</si>
  <si>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</si>
  <si>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</si>
  <si>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</si>
  <si>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</si>
  <si>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</si>
  <si>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</si>
  <si>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</si>
  <si>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</si>
  <si>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M48</t>
  </si>
  <si>
    <t>Inclination</t>
  </si>
  <si>
    <t>deg</t>
  </si>
  <si>
    <t>Shape factor</t>
  </si>
  <si>
    <t>(should be 1)</t>
  </si>
  <si>
    <t>Bolt properties:</t>
  </si>
  <si>
    <t>Shank length</t>
  </si>
  <si>
    <t>lsh</t>
  </si>
  <si>
    <t>Length of free loaded thread</t>
  </si>
  <si>
    <t>lGew</t>
  </si>
  <si>
    <t>Shank diameter</t>
  </si>
  <si>
    <t>dsh</t>
  </si>
  <si>
    <t>Pitch diameter</t>
  </si>
  <si>
    <t>d2</t>
  </si>
  <si>
    <t>Minor diameter</t>
  </si>
  <si>
    <t>d3</t>
  </si>
  <si>
    <t>Stress area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</si>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</sst>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0" tint="-0.14999847407452621"/>
      <name val="Arial"/>
      <family val="2"/>
    </font>
    <font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</cellStyleXfs>
  <cellXfs count="175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7" fillId="3" borderId="1" xfId="1" applyNumberFormat="1" applyFont="1" applyFill="1" applyBorder="1" applyAlignment="1">
      <alignment horizontal="center" vertical="center"/>
    </xf>
    <xf numFmtId="2" fontId="7" fillId="3" borderId="5" xfId="1" applyNumberFormat="1" applyFont="1" applyFill="1" applyBorder="1" applyAlignment="1">
      <alignment horizontal="center" vertical="center"/>
    </xf>
    <xf numFmtId="0" fontId="60" fillId="0" borderId="0" xfId="0" applyFont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61" fillId="5" borderId="0" xfId="4" applyFont="1" applyFill="1"/>
    <xf numFmtId="0" fontId="61" fillId="5" borderId="0" xfId="4" applyFont="1" applyFill="1" applyAlignment="1">
      <alignment horizontal="center"/>
    </xf>
    <xf numFmtId="0" fontId="61" fillId="0" borderId="0" xfId="4" applyFont="1"/>
    <xf numFmtId="0" fontId="61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9" fillId="3" borderId="1" xfId="2" quotePrefix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</cellXfs>
  <cellStyles count="5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2C07C2D9-21A5-4A78-9307-E561F210E2DB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-417.16855085811113</c:v>
                </c:pt>
                <c:pt idx="1">
                  <c:v>-406.92842350123686</c:v>
                </c:pt>
                <c:pt idx="2">
                  <c:v>-396.68829614436271</c:v>
                </c:pt>
                <c:pt idx="3">
                  <c:v>-386.4481687874885</c:v>
                </c:pt>
                <c:pt idx="4">
                  <c:v>-376.20804143061423</c:v>
                </c:pt>
                <c:pt idx="5">
                  <c:v>-365.96791407374002</c:v>
                </c:pt>
                <c:pt idx="6">
                  <c:v>-355.72778671686586</c:v>
                </c:pt>
                <c:pt idx="7">
                  <c:v>-345.4876593599916</c:v>
                </c:pt>
                <c:pt idx="8">
                  <c:v>-335.24753200311739</c:v>
                </c:pt>
                <c:pt idx="9">
                  <c:v>-325.00740464624317</c:v>
                </c:pt>
                <c:pt idx="10">
                  <c:v>-314.76727728936896</c:v>
                </c:pt>
                <c:pt idx="11">
                  <c:v>-304.52714993249475</c:v>
                </c:pt>
                <c:pt idx="12">
                  <c:v>-294.28702257562054</c:v>
                </c:pt>
                <c:pt idx="13">
                  <c:v>-284.04689521874627</c:v>
                </c:pt>
                <c:pt idx="14">
                  <c:v>-273.80676786187212</c:v>
                </c:pt>
                <c:pt idx="15">
                  <c:v>-263.56664050499785</c:v>
                </c:pt>
                <c:pt idx="16">
                  <c:v>-253.32651314812367</c:v>
                </c:pt>
                <c:pt idx="17">
                  <c:v>-243.08638579124946</c:v>
                </c:pt>
                <c:pt idx="18">
                  <c:v>-232.84625843437522</c:v>
                </c:pt>
                <c:pt idx="19">
                  <c:v>-222.60613107750103</c:v>
                </c:pt>
                <c:pt idx="20">
                  <c:v>-212.36600372062679</c:v>
                </c:pt>
                <c:pt idx="21">
                  <c:v>-202.12587636375258</c:v>
                </c:pt>
                <c:pt idx="22">
                  <c:v>-191.88574900687834</c:v>
                </c:pt>
                <c:pt idx="23">
                  <c:v>-181.64562165000416</c:v>
                </c:pt>
                <c:pt idx="24">
                  <c:v>-171.40549429312995</c:v>
                </c:pt>
                <c:pt idx="25">
                  <c:v>-161.16536693625571</c:v>
                </c:pt>
                <c:pt idx="26">
                  <c:v>-150.92523957938147</c:v>
                </c:pt>
                <c:pt idx="27">
                  <c:v>-140.68511222250731</c:v>
                </c:pt>
                <c:pt idx="28">
                  <c:v>-130.44498486563307</c:v>
                </c:pt>
                <c:pt idx="29">
                  <c:v>-120.20485750875883</c:v>
                </c:pt>
                <c:pt idx="30">
                  <c:v>-109.96473015188461</c:v>
                </c:pt>
                <c:pt idx="31">
                  <c:v>-99.724602795010426</c:v>
                </c:pt>
                <c:pt idx="32">
                  <c:v>-89.484475438136201</c:v>
                </c:pt>
                <c:pt idx="33">
                  <c:v>-79.244348081261961</c:v>
                </c:pt>
                <c:pt idx="34">
                  <c:v>-69.004220724387793</c:v>
                </c:pt>
                <c:pt idx="35">
                  <c:v>-58.76409336751356</c:v>
                </c:pt>
                <c:pt idx="36">
                  <c:v>-48.523966010639327</c:v>
                </c:pt>
                <c:pt idx="37">
                  <c:v>-38.283838653765095</c:v>
                </c:pt>
                <c:pt idx="38">
                  <c:v>-28.043711296890919</c:v>
                </c:pt>
                <c:pt idx="39">
                  <c:v>-17.803583940016686</c:v>
                </c:pt>
                <c:pt idx="40">
                  <c:v>-7.5634565831424556</c:v>
                </c:pt>
                <c:pt idx="41">
                  <c:v>2.6766707737317192</c:v>
                </c:pt>
                <c:pt idx="42">
                  <c:v>12.916798130605953</c:v>
                </c:pt>
                <c:pt idx="43">
                  <c:v>23.156925487480184</c:v>
                </c:pt>
                <c:pt idx="44">
                  <c:v>33.39705284435442</c:v>
                </c:pt>
                <c:pt idx="45">
                  <c:v>43.637180201228588</c:v>
                </c:pt>
                <c:pt idx="46">
                  <c:v>53.877307558102821</c:v>
                </c:pt>
                <c:pt idx="47">
                  <c:v>64.117434914977053</c:v>
                </c:pt>
                <c:pt idx="48">
                  <c:v>74.357562271851236</c:v>
                </c:pt>
                <c:pt idx="49">
                  <c:v>84.597689628725462</c:v>
                </c:pt>
                <c:pt idx="50">
                  <c:v>94.837816985599702</c:v>
                </c:pt>
                <c:pt idx="51">
                  <c:v>105.07794434247393</c:v>
                </c:pt>
                <c:pt idx="52">
                  <c:v>115.31807169934817</c:v>
                </c:pt>
                <c:pt idx="53">
                  <c:v>125.55819905622234</c:v>
                </c:pt>
                <c:pt idx="54">
                  <c:v>135.7983264130965</c:v>
                </c:pt>
                <c:pt idx="55">
                  <c:v>146.0384537699708</c:v>
                </c:pt>
                <c:pt idx="56">
                  <c:v>156.27858112684498</c:v>
                </c:pt>
                <c:pt idx="57">
                  <c:v>166.51870848371914</c:v>
                </c:pt>
                <c:pt idx="58">
                  <c:v>176.75883584059343</c:v>
                </c:pt>
                <c:pt idx="59">
                  <c:v>186.99896319746762</c:v>
                </c:pt>
                <c:pt idx="60">
                  <c:v>197.23909055434191</c:v>
                </c:pt>
                <c:pt idx="61">
                  <c:v>207.47921791121607</c:v>
                </c:pt>
                <c:pt idx="62">
                  <c:v>217.71934526809025</c:v>
                </c:pt>
                <c:pt idx="63">
                  <c:v>227.95947262496455</c:v>
                </c:pt>
                <c:pt idx="64">
                  <c:v>238.19959998183873</c:v>
                </c:pt>
                <c:pt idx="65">
                  <c:v>248.43972733871288</c:v>
                </c:pt>
                <c:pt idx="66">
                  <c:v>258.67985469558721</c:v>
                </c:pt>
                <c:pt idx="67">
                  <c:v>268.91998205246136</c:v>
                </c:pt>
                <c:pt idx="68">
                  <c:v>279.16010940933552</c:v>
                </c:pt>
                <c:pt idx="69">
                  <c:v>289.40023676620984</c:v>
                </c:pt>
                <c:pt idx="70">
                  <c:v>299.640364123084</c:v>
                </c:pt>
                <c:pt idx="71">
                  <c:v>309.88049147995827</c:v>
                </c:pt>
                <c:pt idx="72">
                  <c:v>320.12061883683248</c:v>
                </c:pt>
                <c:pt idx="73">
                  <c:v>330.36074619370663</c:v>
                </c:pt>
                <c:pt idx="74">
                  <c:v>340.60087355058096</c:v>
                </c:pt>
                <c:pt idx="75">
                  <c:v>350.84100090745511</c:v>
                </c:pt>
                <c:pt idx="76">
                  <c:v>361.08112826432927</c:v>
                </c:pt>
                <c:pt idx="77">
                  <c:v>371.32125562120359</c:v>
                </c:pt>
                <c:pt idx="78">
                  <c:v>381.56138297807775</c:v>
                </c:pt>
                <c:pt idx="79">
                  <c:v>391.8015103349519</c:v>
                </c:pt>
                <c:pt idx="80">
                  <c:v>402.04163769182622</c:v>
                </c:pt>
                <c:pt idx="81">
                  <c:v>412.28176504870038</c:v>
                </c:pt>
                <c:pt idx="82">
                  <c:v>422.52189240557453</c:v>
                </c:pt>
                <c:pt idx="83">
                  <c:v>432.76201976244886</c:v>
                </c:pt>
                <c:pt idx="84">
                  <c:v>443.00214711932301</c:v>
                </c:pt>
                <c:pt idx="85">
                  <c:v>453.24227447619734</c:v>
                </c:pt>
                <c:pt idx="86">
                  <c:v>463.48240183307149</c:v>
                </c:pt>
                <c:pt idx="87">
                  <c:v>473.72252918994565</c:v>
                </c:pt>
                <c:pt idx="88">
                  <c:v>483.96265654681997</c:v>
                </c:pt>
                <c:pt idx="89">
                  <c:v>494.20278390369413</c:v>
                </c:pt>
                <c:pt idx="90">
                  <c:v>504.44291126056828</c:v>
                </c:pt>
                <c:pt idx="91">
                  <c:v>514.68303861744255</c:v>
                </c:pt>
                <c:pt idx="92">
                  <c:v>524.92316597431682</c:v>
                </c:pt>
                <c:pt idx="93">
                  <c:v>535.16329333119097</c:v>
                </c:pt>
                <c:pt idx="94">
                  <c:v>545.40342068806524</c:v>
                </c:pt>
                <c:pt idx="95">
                  <c:v>555.64354804493939</c:v>
                </c:pt>
                <c:pt idx="96">
                  <c:v>565.88367540181355</c:v>
                </c:pt>
                <c:pt idx="97">
                  <c:v>576.12380275868793</c:v>
                </c:pt>
                <c:pt idx="98">
                  <c:v>586.36393011556208</c:v>
                </c:pt>
                <c:pt idx="99">
                  <c:v>596.60405747243624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-39.277022859045694</c:v>
                </c:pt>
                <c:pt idx="1">
                  <c:v>-39.277022859045694</c:v>
                </c:pt>
                <c:pt idx="2">
                  <c:v>-39.276921360369677</c:v>
                </c:pt>
                <c:pt idx="3">
                  <c:v>-39.245409843871379</c:v>
                </c:pt>
                <c:pt idx="4">
                  <c:v>-39.157634414253629</c:v>
                </c:pt>
                <c:pt idx="5">
                  <c:v>-39.013595071516406</c:v>
                </c:pt>
                <c:pt idx="6">
                  <c:v>-38.813291815659717</c:v>
                </c:pt>
                <c:pt idx="7">
                  <c:v>-38.556724646683563</c:v>
                </c:pt>
                <c:pt idx="8">
                  <c:v>-38.24389356458795</c:v>
                </c:pt>
                <c:pt idx="9">
                  <c:v>-37.874798569372857</c:v>
                </c:pt>
                <c:pt idx="10">
                  <c:v>-37.449439661038312</c:v>
                </c:pt>
                <c:pt idx="11">
                  <c:v>-36.967816839584302</c:v>
                </c:pt>
                <c:pt idx="12">
                  <c:v>-36.429930105010818</c:v>
                </c:pt>
                <c:pt idx="13">
                  <c:v>-35.835779457317869</c:v>
                </c:pt>
                <c:pt idx="14">
                  <c:v>-35.185364896505469</c:v>
                </c:pt>
                <c:pt idx="15">
                  <c:v>-34.478686422573588</c:v>
                </c:pt>
                <c:pt idx="16">
                  <c:v>-33.715744035522249</c:v>
                </c:pt>
                <c:pt idx="17">
                  <c:v>-32.896537735351451</c:v>
                </c:pt>
                <c:pt idx="18">
                  <c:v>-32.02106752206118</c:v>
                </c:pt>
                <c:pt idx="19">
                  <c:v>-31.089333395651447</c:v>
                </c:pt>
                <c:pt idx="20">
                  <c:v>-30.101335356122245</c:v>
                </c:pt>
                <c:pt idx="21">
                  <c:v>-29.057073403473584</c:v>
                </c:pt>
                <c:pt idx="22">
                  <c:v>-27.956547537705454</c:v>
                </c:pt>
                <c:pt idx="23">
                  <c:v>-26.799757758817858</c:v>
                </c:pt>
                <c:pt idx="24">
                  <c:v>-25.5867040668108</c:v>
                </c:pt>
                <c:pt idx="25">
                  <c:v>-24.317386461684272</c:v>
                </c:pt>
                <c:pt idx="26">
                  <c:v>-22.991804943438279</c:v>
                </c:pt>
                <c:pt idx="27">
                  <c:v>-21.60995951207283</c:v>
                </c:pt>
                <c:pt idx="28">
                  <c:v>-20.171850167587909</c:v>
                </c:pt>
                <c:pt idx="29">
                  <c:v>-18.677476909983518</c:v>
                </c:pt>
                <c:pt idx="30">
                  <c:v>-17.126839739259665</c:v>
                </c:pt>
                <c:pt idx="31">
                  <c:v>-15.519938655416356</c:v>
                </c:pt>
                <c:pt idx="32">
                  <c:v>-13.856773658453571</c:v>
                </c:pt>
                <c:pt idx="33">
                  <c:v>-12.137344748371323</c:v>
                </c:pt>
                <c:pt idx="34">
                  <c:v>-10.361651925169619</c:v>
                </c:pt>
                <c:pt idx="35">
                  <c:v>-8.5296951888484394</c:v>
                </c:pt>
                <c:pt idx="36">
                  <c:v>-6.6414745394077954</c:v>
                </c:pt>
                <c:pt idx="37">
                  <c:v>-4.6969899768476857</c:v>
                </c:pt>
                <c:pt idx="38">
                  <c:v>-2.6915777872690221</c:v>
                </c:pt>
                <c:pt idx="39">
                  <c:v>-0.47758802547487367</c:v>
                </c:pt>
                <c:pt idx="40">
                  <c:v>2.015450096630631</c:v>
                </c:pt>
                <c:pt idx="41">
                  <c:v>4.7875365790474751</c:v>
                </c:pt>
                <c:pt idx="42">
                  <c:v>7.8386714217756905</c:v>
                </c:pt>
                <c:pt idx="43">
                  <c:v>11.16885462481526</c:v>
                </c:pt>
                <c:pt idx="44">
                  <c:v>14.77808618816619</c:v>
                </c:pt>
                <c:pt idx="45">
                  <c:v>18.666366111828452</c:v>
                </c:pt>
                <c:pt idx="46">
                  <c:v>22.833694395802084</c:v>
                </c:pt>
                <c:pt idx="47">
                  <c:v>27.280071040087087</c:v>
                </c:pt>
                <c:pt idx="48">
                  <c:v>32.005496044683404</c:v>
                </c:pt>
                <c:pt idx="49">
                  <c:v>37.009969409591108</c:v>
                </c:pt>
                <c:pt idx="50">
                  <c:v>42.293491134810175</c:v>
                </c:pt>
                <c:pt idx="51">
                  <c:v>47.856061220340585</c:v>
                </c:pt>
                <c:pt idx="52">
                  <c:v>53.69767966618236</c:v>
                </c:pt>
                <c:pt idx="53">
                  <c:v>59.818346472335449</c:v>
                </c:pt>
                <c:pt idx="54">
                  <c:v>66.218061638799909</c:v>
                </c:pt>
                <c:pt idx="55">
                  <c:v>72.896825165575791</c:v>
                </c:pt>
                <c:pt idx="56">
                  <c:v>79.854637052662937</c:v>
                </c:pt>
                <c:pt idx="57">
                  <c:v>87.091497300061448</c:v>
                </c:pt>
                <c:pt idx="58">
                  <c:v>94.60740590777138</c:v>
                </c:pt>
                <c:pt idx="59">
                  <c:v>102.4023628757926</c:v>
                </c:pt>
                <c:pt idx="60">
                  <c:v>110.47636820412528</c:v>
                </c:pt>
                <c:pt idx="61">
                  <c:v>118.82942189276922</c:v>
                </c:pt>
                <c:pt idx="62">
                  <c:v>127.46152394172449</c:v>
                </c:pt>
                <c:pt idx="63">
                  <c:v>136.37267435099119</c:v>
                </c:pt>
                <c:pt idx="64">
                  <c:v>145.56287312056918</c:v>
                </c:pt>
                <c:pt idx="65">
                  <c:v>155.03212025045852</c:v>
                </c:pt>
                <c:pt idx="66">
                  <c:v>164.78041574065935</c:v>
                </c:pt>
                <c:pt idx="67">
                  <c:v>174.80775959117142</c:v>
                </c:pt>
                <c:pt idx="68">
                  <c:v>185.11415180199478</c:v>
                </c:pt>
                <c:pt idx="69">
                  <c:v>195.69959237312966</c:v>
                </c:pt>
                <c:pt idx="70">
                  <c:v>206.56408130457578</c:v>
                </c:pt>
                <c:pt idx="71">
                  <c:v>217.70761859633339</c:v>
                </c:pt>
                <c:pt idx="72">
                  <c:v>229.13020424840224</c:v>
                </c:pt>
                <c:pt idx="73">
                  <c:v>240.83183826078238</c:v>
                </c:pt>
                <c:pt idx="74">
                  <c:v>252.81252063347404</c:v>
                </c:pt>
                <c:pt idx="75">
                  <c:v>265.07225136647696</c:v>
                </c:pt>
                <c:pt idx="76">
                  <c:v>277.61103045979121</c:v>
                </c:pt>
                <c:pt idx="77">
                  <c:v>290.42885791341695</c:v>
                </c:pt>
                <c:pt idx="78">
                  <c:v>303.5257337273539</c:v>
                </c:pt>
                <c:pt idx="79">
                  <c:v>316.90165790160222</c:v>
                </c:pt>
                <c:pt idx="80">
                  <c:v>330.55663043616198</c:v>
                </c:pt>
                <c:pt idx="81">
                  <c:v>344.49065133103295</c:v>
                </c:pt>
                <c:pt idx="82">
                  <c:v>358.70372058621535</c:v>
                </c:pt>
                <c:pt idx="83">
                  <c:v>373.19583820170925</c:v>
                </c:pt>
                <c:pt idx="84">
                  <c:v>387.96700417751435</c:v>
                </c:pt>
                <c:pt idx="85">
                  <c:v>403.01721851363089</c:v>
                </c:pt>
                <c:pt idx="86">
                  <c:v>418.34648121005864</c:v>
                </c:pt>
                <c:pt idx="87">
                  <c:v>433.95479226679782</c:v>
                </c:pt>
                <c:pt idx="88">
                  <c:v>449.8421516838485</c:v>
                </c:pt>
                <c:pt idx="89">
                  <c:v>466.00855946121033</c:v>
                </c:pt>
                <c:pt idx="90">
                  <c:v>482.45401559888347</c:v>
                </c:pt>
                <c:pt idx="91">
                  <c:v>499.17852009686823</c:v>
                </c:pt>
                <c:pt idx="92">
                  <c:v>516.18207295516413</c:v>
                </c:pt>
                <c:pt idx="93">
                  <c:v>533.46467417377141</c:v>
                </c:pt>
                <c:pt idx="94">
                  <c:v>551.02632375269025</c:v>
                </c:pt>
                <c:pt idx="95">
                  <c:v>568.86702169192006</c:v>
                </c:pt>
                <c:pt idx="96">
                  <c:v>586.98676799146142</c:v>
                </c:pt>
                <c:pt idx="97">
                  <c:v>605.38556265131433</c:v>
                </c:pt>
                <c:pt idx="98">
                  <c:v>624.06340567147845</c:v>
                </c:pt>
                <c:pt idx="99">
                  <c:v>643.02029705195378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-417.16855085811113</c:v>
                </c:pt>
                <c:pt idx="1">
                  <c:v>-406.92842350123686</c:v>
                </c:pt>
                <c:pt idx="2">
                  <c:v>-396.68829614436271</c:v>
                </c:pt>
                <c:pt idx="3">
                  <c:v>-386.4481687874885</c:v>
                </c:pt>
                <c:pt idx="4">
                  <c:v>-376.20804143061423</c:v>
                </c:pt>
                <c:pt idx="5">
                  <c:v>-365.96791407374002</c:v>
                </c:pt>
                <c:pt idx="6">
                  <c:v>-355.72778671686586</c:v>
                </c:pt>
                <c:pt idx="7">
                  <c:v>-345.4876593599916</c:v>
                </c:pt>
                <c:pt idx="8">
                  <c:v>-335.24753200311739</c:v>
                </c:pt>
                <c:pt idx="9">
                  <c:v>-325.00740464624317</c:v>
                </c:pt>
                <c:pt idx="10">
                  <c:v>-314.76727728936896</c:v>
                </c:pt>
                <c:pt idx="11">
                  <c:v>-304.52714993249475</c:v>
                </c:pt>
                <c:pt idx="12">
                  <c:v>-294.28702257562054</c:v>
                </c:pt>
                <c:pt idx="13">
                  <c:v>-284.04689521874627</c:v>
                </c:pt>
                <c:pt idx="14">
                  <c:v>-273.80676786187212</c:v>
                </c:pt>
                <c:pt idx="15">
                  <c:v>-263.56664050499785</c:v>
                </c:pt>
                <c:pt idx="16">
                  <c:v>-253.32651314812367</c:v>
                </c:pt>
                <c:pt idx="17">
                  <c:v>-243.08638579124946</c:v>
                </c:pt>
                <c:pt idx="18">
                  <c:v>-232.84625843437522</c:v>
                </c:pt>
                <c:pt idx="19">
                  <c:v>-222.60613107750103</c:v>
                </c:pt>
                <c:pt idx="20">
                  <c:v>-212.36600372062679</c:v>
                </c:pt>
                <c:pt idx="21">
                  <c:v>-202.12587636375258</c:v>
                </c:pt>
                <c:pt idx="22">
                  <c:v>-191.88574900687834</c:v>
                </c:pt>
                <c:pt idx="23">
                  <c:v>-181.64562165000416</c:v>
                </c:pt>
                <c:pt idx="24">
                  <c:v>-171.40549429312995</c:v>
                </c:pt>
                <c:pt idx="25">
                  <c:v>-161.16536693625571</c:v>
                </c:pt>
                <c:pt idx="26">
                  <c:v>-150.92523957938147</c:v>
                </c:pt>
                <c:pt idx="27">
                  <c:v>-140.68511222250731</c:v>
                </c:pt>
                <c:pt idx="28">
                  <c:v>-130.44498486563307</c:v>
                </c:pt>
                <c:pt idx="29">
                  <c:v>-120.20485750875883</c:v>
                </c:pt>
                <c:pt idx="30">
                  <c:v>-109.96473015188461</c:v>
                </c:pt>
                <c:pt idx="31">
                  <c:v>-99.724602795010426</c:v>
                </c:pt>
                <c:pt idx="32">
                  <c:v>-89.484475438136201</c:v>
                </c:pt>
                <c:pt idx="33">
                  <c:v>-79.244348081261961</c:v>
                </c:pt>
                <c:pt idx="34">
                  <c:v>-69.004220724387793</c:v>
                </c:pt>
                <c:pt idx="35">
                  <c:v>-58.76409336751356</c:v>
                </c:pt>
                <c:pt idx="36">
                  <c:v>-48.523966010639327</c:v>
                </c:pt>
                <c:pt idx="37">
                  <c:v>-38.283838653765095</c:v>
                </c:pt>
                <c:pt idx="38">
                  <c:v>-28.043711296890919</c:v>
                </c:pt>
                <c:pt idx="39">
                  <c:v>-17.803583940016686</c:v>
                </c:pt>
                <c:pt idx="40">
                  <c:v>-7.5634565831424556</c:v>
                </c:pt>
                <c:pt idx="41">
                  <c:v>2.6766707737317192</c:v>
                </c:pt>
                <c:pt idx="42">
                  <c:v>12.916798130605953</c:v>
                </c:pt>
                <c:pt idx="43">
                  <c:v>23.156925487480184</c:v>
                </c:pt>
                <c:pt idx="44">
                  <c:v>33.39705284435442</c:v>
                </c:pt>
                <c:pt idx="45">
                  <c:v>43.637180201228588</c:v>
                </c:pt>
                <c:pt idx="46">
                  <c:v>53.877307558102821</c:v>
                </c:pt>
                <c:pt idx="47">
                  <c:v>64.117434914977053</c:v>
                </c:pt>
                <c:pt idx="48">
                  <c:v>74.357562271851236</c:v>
                </c:pt>
                <c:pt idx="49">
                  <c:v>84.597689628725462</c:v>
                </c:pt>
                <c:pt idx="50">
                  <c:v>94.837816985599702</c:v>
                </c:pt>
                <c:pt idx="51">
                  <c:v>105.07794434247393</c:v>
                </c:pt>
                <c:pt idx="52">
                  <c:v>115.31807169934817</c:v>
                </c:pt>
                <c:pt idx="53">
                  <c:v>125.55819905622234</c:v>
                </c:pt>
                <c:pt idx="54">
                  <c:v>135.7983264130965</c:v>
                </c:pt>
                <c:pt idx="55">
                  <c:v>146.0384537699708</c:v>
                </c:pt>
                <c:pt idx="56">
                  <c:v>156.27858112684498</c:v>
                </c:pt>
                <c:pt idx="57">
                  <c:v>166.51870848371914</c:v>
                </c:pt>
                <c:pt idx="58">
                  <c:v>176.75883584059343</c:v>
                </c:pt>
                <c:pt idx="59">
                  <c:v>186.99896319746762</c:v>
                </c:pt>
                <c:pt idx="60">
                  <c:v>197.23909055434191</c:v>
                </c:pt>
                <c:pt idx="61">
                  <c:v>207.47921791121607</c:v>
                </c:pt>
                <c:pt idx="62">
                  <c:v>217.71934526809025</c:v>
                </c:pt>
                <c:pt idx="63">
                  <c:v>227.95947262496455</c:v>
                </c:pt>
                <c:pt idx="64">
                  <c:v>238.19959998183873</c:v>
                </c:pt>
                <c:pt idx="65">
                  <c:v>248.43972733871288</c:v>
                </c:pt>
                <c:pt idx="66">
                  <c:v>258.67985469558721</c:v>
                </c:pt>
                <c:pt idx="67">
                  <c:v>268.91998205246136</c:v>
                </c:pt>
                <c:pt idx="68">
                  <c:v>279.16010940933552</c:v>
                </c:pt>
                <c:pt idx="69">
                  <c:v>289.40023676620984</c:v>
                </c:pt>
                <c:pt idx="70">
                  <c:v>299.640364123084</c:v>
                </c:pt>
                <c:pt idx="71">
                  <c:v>309.88049147995827</c:v>
                </c:pt>
                <c:pt idx="72">
                  <c:v>320.12061883683248</c:v>
                </c:pt>
                <c:pt idx="73">
                  <c:v>330.36074619370663</c:v>
                </c:pt>
                <c:pt idx="74">
                  <c:v>340.60087355058096</c:v>
                </c:pt>
                <c:pt idx="75">
                  <c:v>350.84100090745511</c:v>
                </c:pt>
                <c:pt idx="76">
                  <c:v>361.08112826432927</c:v>
                </c:pt>
                <c:pt idx="77">
                  <c:v>371.32125562120359</c:v>
                </c:pt>
                <c:pt idx="78">
                  <c:v>381.56138297807775</c:v>
                </c:pt>
                <c:pt idx="79">
                  <c:v>391.8015103349519</c:v>
                </c:pt>
                <c:pt idx="80">
                  <c:v>402.04163769182622</c:v>
                </c:pt>
                <c:pt idx="81">
                  <c:v>412.28176504870038</c:v>
                </c:pt>
                <c:pt idx="82">
                  <c:v>422.52189240557453</c:v>
                </c:pt>
                <c:pt idx="83">
                  <c:v>432.76201976244886</c:v>
                </c:pt>
                <c:pt idx="84">
                  <c:v>443.00214711932301</c:v>
                </c:pt>
                <c:pt idx="85">
                  <c:v>453.24227447619734</c:v>
                </c:pt>
                <c:pt idx="86">
                  <c:v>463.48240183307149</c:v>
                </c:pt>
                <c:pt idx="87">
                  <c:v>473.72252918994565</c:v>
                </c:pt>
                <c:pt idx="88">
                  <c:v>483.96265654681997</c:v>
                </c:pt>
                <c:pt idx="89">
                  <c:v>494.20278390369413</c:v>
                </c:pt>
                <c:pt idx="90">
                  <c:v>504.44291126056828</c:v>
                </c:pt>
                <c:pt idx="91">
                  <c:v>514.68303861744255</c:v>
                </c:pt>
                <c:pt idx="92">
                  <c:v>524.92316597431682</c:v>
                </c:pt>
                <c:pt idx="93">
                  <c:v>535.16329333119097</c:v>
                </c:pt>
                <c:pt idx="94">
                  <c:v>545.40342068806524</c:v>
                </c:pt>
                <c:pt idx="95">
                  <c:v>555.64354804493939</c:v>
                </c:pt>
                <c:pt idx="96">
                  <c:v>565.88367540181355</c:v>
                </c:pt>
                <c:pt idx="97">
                  <c:v>576.12380275868793</c:v>
                </c:pt>
                <c:pt idx="98">
                  <c:v>586.36393011556208</c:v>
                </c:pt>
                <c:pt idx="99">
                  <c:v>596.60405747243624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799.48809688658753</c:v>
                </c:pt>
                <c:pt idx="1">
                  <c:v>799.48809688658753</c:v>
                </c:pt>
                <c:pt idx="2">
                  <c:v>799.48812358082284</c:v>
                </c:pt>
                <c:pt idx="3">
                  <c:v>799.49641113559835</c:v>
                </c:pt>
                <c:pt idx="4">
                  <c:v>799.51949614583373</c:v>
                </c:pt>
                <c:pt idx="5">
                  <c:v>799.55737861152909</c:v>
                </c:pt>
                <c:pt idx="6">
                  <c:v>799.61005853268443</c:v>
                </c:pt>
                <c:pt idx="7">
                  <c:v>799.67753590929976</c:v>
                </c:pt>
                <c:pt idx="8">
                  <c:v>799.75981074137496</c:v>
                </c:pt>
                <c:pt idx="9">
                  <c:v>799.85688302891015</c:v>
                </c:pt>
                <c:pt idx="10">
                  <c:v>799.96875277190532</c:v>
                </c:pt>
                <c:pt idx="11">
                  <c:v>800.09541997036035</c:v>
                </c:pt>
                <c:pt idx="12">
                  <c:v>800.23688462427538</c:v>
                </c:pt>
                <c:pt idx="13">
                  <c:v>800.39314673365038</c:v>
                </c:pt>
                <c:pt idx="14">
                  <c:v>800.56420629848526</c:v>
                </c:pt>
                <c:pt idx="15">
                  <c:v>800.75006331878012</c:v>
                </c:pt>
                <c:pt idx="16">
                  <c:v>800.95071779453508</c:v>
                </c:pt>
                <c:pt idx="17">
                  <c:v>801.16616972574991</c:v>
                </c:pt>
                <c:pt idx="18">
                  <c:v>801.39641911242461</c:v>
                </c:pt>
                <c:pt idx="19">
                  <c:v>801.64146595455929</c:v>
                </c:pt>
                <c:pt idx="20">
                  <c:v>801.90131025215396</c:v>
                </c:pt>
                <c:pt idx="21">
                  <c:v>802.17595200520861</c:v>
                </c:pt>
                <c:pt idx="22">
                  <c:v>802.46539121372325</c:v>
                </c:pt>
                <c:pt idx="23">
                  <c:v>802.76962787769764</c:v>
                </c:pt>
                <c:pt idx="24">
                  <c:v>803.08866199713225</c:v>
                </c:pt>
                <c:pt idx="25">
                  <c:v>803.42249357202661</c:v>
                </c:pt>
                <c:pt idx="26">
                  <c:v>803.77112260238107</c:v>
                </c:pt>
                <c:pt idx="27">
                  <c:v>804.13454908819529</c:v>
                </c:pt>
                <c:pt idx="28">
                  <c:v>804.5127730294696</c:v>
                </c:pt>
                <c:pt idx="29">
                  <c:v>804.9057944262039</c:v>
                </c:pt>
                <c:pt idx="30">
                  <c:v>805.31361327839807</c:v>
                </c:pt>
                <c:pt idx="31">
                  <c:v>805.73622958605222</c:v>
                </c:pt>
                <c:pt idx="32">
                  <c:v>806.17364334916635</c:v>
                </c:pt>
                <c:pt idx="33">
                  <c:v>806.62585456774048</c:v>
                </c:pt>
                <c:pt idx="34">
                  <c:v>807.09286324177447</c:v>
                </c:pt>
                <c:pt idx="35">
                  <c:v>807.57466937126833</c:v>
                </c:pt>
                <c:pt idx="36">
                  <c:v>808.07127295622229</c:v>
                </c:pt>
                <c:pt idx="37">
                  <c:v>808.58267399663623</c:v>
                </c:pt>
                <c:pt idx="38">
                  <c:v>809.11178906893747</c:v>
                </c:pt>
                <c:pt idx="39">
                  <c:v>809.7509549585659</c:v>
                </c:pt>
                <c:pt idx="40">
                  <c:v>810.54424243054291</c:v>
                </c:pt>
                <c:pt idx="41">
                  <c:v>811.49165148486861</c:v>
                </c:pt>
                <c:pt idx="42">
                  <c:v>812.59318212154312</c:v>
                </c:pt>
                <c:pt idx="43">
                  <c:v>813.84883434056621</c:v>
                </c:pt>
                <c:pt idx="44">
                  <c:v>815.25860814193788</c:v>
                </c:pt>
                <c:pt idx="45">
                  <c:v>816.82250352565836</c:v>
                </c:pt>
                <c:pt idx="46">
                  <c:v>818.54052049172742</c:v>
                </c:pt>
                <c:pt idx="47">
                  <c:v>820.41265904014517</c:v>
                </c:pt>
                <c:pt idx="48">
                  <c:v>822.43891917091162</c:v>
                </c:pt>
                <c:pt idx="49">
                  <c:v>824.61930088402676</c:v>
                </c:pt>
                <c:pt idx="50">
                  <c:v>826.95380417949059</c:v>
                </c:pt>
                <c:pt idx="51">
                  <c:v>829.442429057303</c:v>
                </c:pt>
                <c:pt idx="52">
                  <c:v>832.08517551746422</c:v>
                </c:pt>
                <c:pt idx="53">
                  <c:v>834.88204355997391</c:v>
                </c:pt>
                <c:pt idx="54">
                  <c:v>837.8330331848324</c:v>
                </c:pt>
                <c:pt idx="55">
                  <c:v>840.93814439203959</c:v>
                </c:pt>
                <c:pt idx="56">
                  <c:v>844.19737718159547</c:v>
                </c:pt>
                <c:pt idx="57">
                  <c:v>847.61073155349982</c:v>
                </c:pt>
                <c:pt idx="58">
                  <c:v>851.17820750775309</c:v>
                </c:pt>
                <c:pt idx="59">
                  <c:v>854.89980504435482</c:v>
                </c:pt>
                <c:pt idx="60">
                  <c:v>858.77552416330536</c:v>
                </c:pt>
                <c:pt idx="61">
                  <c:v>862.8053648646046</c:v>
                </c:pt>
                <c:pt idx="62">
                  <c:v>866.98932714825241</c:v>
                </c:pt>
                <c:pt idx="63">
                  <c:v>871.32741101424892</c:v>
                </c:pt>
                <c:pt idx="64">
                  <c:v>875.81961646259413</c:v>
                </c:pt>
                <c:pt idx="65">
                  <c:v>880.46594349328802</c:v>
                </c:pt>
                <c:pt idx="66">
                  <c:v>885.26639210633061</c:v>
                </c:pt>
                <c:pt idx="67">
                  <c:v>890.22096230172178</c:v>
                </c:pt>
                <c:pt idx="68">
                  <c:v>895.32965407946153</c:v>
                </c:pt>
                <c:pt idx="69">
                  <c:v>900.59246743955021</c:v>
                </c:pt>
                <c:pt idx="70">
                  <c:v>906.00940238198746</c:v>
                </c:pt>
                <c:pt idx="71">
                  <c:v>911.5804589067734</c:v>
                </c:pt>
                <c:pt idx="72">
                  <c:v>917.30563701390793</c:v>
                </c:pt>
                <c:pt idx="73">
                  <c:v>923.18493670339103</c:v>
                </c:pt>
                <c:pt idx="74">
                  <c:v>929.21835797522294</c:v>
                </c:pt>
                <c:pt idx="75">
                  <c:v>935.40590082940355</c:v>
                </c:pt>
                <c:pt idx="76">
                  <c:v>941.74756526593285</c:v>
                </c:pt>
                <c:pt idx="77">
                  <c:v>948.24335128481084</c:v>
                </c:pt>
                <c:pt idx="78">
                  <c:v>954.89325888603742</c:v>
                </c:pt>
                <c:pt idx="79">
                  <c:v>961.69728806961257</c:v>
                </c:pt>
                <c:pt idx="80">
                  <c:v>968.65543883553664</c:v>
                </c:pt>
                <c:pt idx="81">
                  <c:v>975.76771118380918</c:v>
                </c:pt>
                <c:pt idx="82">
                  <c:v>983.03410511443042</c:v>
                </c:pt>
                <c:pt idx="83">
                  <c:v>990.45462062740035</c:v>
                </c:pt>
                <c:pt idx="84">
                  <c:v>998.02925772271897</c:v>
                </c:pt>
                <c:pt idx="85">
                  <c:v>1005.7580164003864</c:v>
                </c:pt>
                <c:pt idx="86">
                  <c:v>1013.6408966604023</c:v>
                </c:pt>
                <c:pt idx="87">
                  <c:v>1021.6778985027669</c:v>
                </c:pt>
                <c:pt idx="88">
                  <c:v>1029.8690219274802</c:v>
                </c:pt>
                <c:pt idx="89">
                  <c:v>1038.2142669345421</c:v>
                </c:pt>
                <c:pt idx="90">
                  <c:v>1046.7136335239527</c:v>
                </c:pt>
                <c:pt idx="91">
                  <c:v>1055.3671216957123</c:v>
                </c:pt>
                <c:pt idx="92">
                  <c:v>1064.17473144982</c:v>
                </c:pt>
                <c:pt idx="93">
                  <c:v>1073.1364627862768</c:v>
                </c:pt>
                <c:pt idx="94">
                  <c:v>1082.2523157050821</c:v>
                </c:pt>
                <c:pt idx="95">
                  <c:v>1091.5222902062362</c:v>
                </c:pt>
                <c:pt idx="96">
                  <c:v>1100.9463862897387</c:v>
                </c:pt>
                <c:pt idx="97">
                  <c:v>1110.5246039555902</c:v>
                </c:pt>
                <c:pt idx="98">
                  <c:v>1120.2569432037903</c:v>
                </c:pt>
                <c:pt idx="99">
                  <c:v>1130.1434040343388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-220.36060536406438</c:v>
                </c:pt>
                <c:pt idx="1">
                  <c:v>-211.75195991477864</c:v>
                </c:pt>
                <c:pt idx="2">
                  <c:v>-203.14331446549286</c:v>
                </c:pt>
                <c:pt idx="3">
                  <c:v>-194.53466901620709</c:v>
                </c:pt>
                <c:pt idx="4">
                  <c:v>-185.92602356692134</c:v>
                </c:pt>
                <c:pt idx="5">
                  <c:v>-177.31737811763563</c:v>
                </c:pt>
                <c:pt idx="6">
                  <c:v>-168.70873266834985</c:v>
                </c:pt>
                <c:pt idx="7">
                  <c:v>-160.10008721906408</c:v>
                </c:pt>
                <c:pt idx="8">
                  <c:v>-151.49144176977833</c:v>
                </c:pt>
                <c:pt idx="9">
                  <c:v>-142.88279632049259</c:v>
                </c:pt>
                <c:pt idx="10">
                  <c:v>-134.27415087120681</c:v>
                </c:pt>
                <c:pt idx="11">
                  <c:v>-125.66550542192104</c:v>
                </c:pt>
                <c:pt idx="12">
                  <c:v>-117.05685997263528</c:v>
                </c:pt>
                <c:pt idx="13">
                  <c:v>-108.44821452334952</c:v>
                </c:pt>
                <c:pt idx="14">
                  <c:v>-99.83956907406376</c:v>
                </c:pt>
                <c:pt idx="15">
                  <c:v>-91.230923624778001</c:v>
                </c:pt>
                <c:pt idx="16">
                  <c:v>-82.622278175492241</c:v>
                </c:pt>
                <c:pt idx="17">
                  <c:v>-74.013632726206509</c:v>
                </c:pt>
                <c:pt idx="18">
                  <c:v>-65.404987276920735</c:v>
                </c:pt>
                <c:pt idx="19">
                  <c:v>-56.796341827634954</c:v>
                </c:pt>
                <c:pt idx="20">
                  <c:v>-48.187696378349209</c:v>
                </c:pt>
                <c:pt idx="21">
                  <c:v>-39.579050929063463</c:v>
                </c:pt>
                <c:pt idx="22">
                  <c:v>-30.970405479777693</c:v>
                </c:pt>
                <c:pt idx="23">
                  <c:v>-22.361760030491919</c:v>
                </c:pt>
                <c:pt idx="24">
                  <c:v>-13.753114581206173</c:v>
                </c:pt>
                <c:pt idx="25">
                  <c:v>-5.1444691319204283</c:v>
                </c:pt>
                <c:pt idx="26">
                  <c:v>3.4641763173653453</c:v>
                </c:pt>
                <c:pt idx="27">
                  <c:v>12.072821766651119</c:v>
                </c:pt>
                <c:pt idx="28">
                  <c:v>20.681467215936863</c:v>
                </c:pt>
                <c:pt idx="29">
                  <c:v>29.290112665222608</c:v>
                </c:pt>
                <c:pt idx="30">
                  <c:v>37.898758114508382</c:v>
                </c:pt>
                <c:pt idx="31">
                  <c:v>46.507403563794156</c:v>
                </c:pt>
                <c:pt idx="32">
                  <c:v>55.116049013079902</c:v>
                </c:pt>
                <c:pt idx="33">
                  <c:v>63.724694462365647</c:v>
                </c:pt>
                <c:pt idx="34">
                  <c:v>72.333339911651393</c:v>
                </c:pt>
                <c:pt idx="35">
                  <c:v>80.941985360937196</c:v>
                </c:pt>
                <c:pt idx="36">
                  <c:v>89.550630810222941</c:v>
                </c:pt>
                <c:pt idx="37">
                  <c:v>98.159276259508687</c:v>
                </c:pt>
                <c:pt idx="38">
                  <c:v>106.76792170879449</c:v>
                </c:pt>
                <c:pt idx="39">
                  <c:v>115.37656715808023</c:v>
                </c:pt>
                <c:pt idx="40">
                  <c:v>123.98521260736598</c:v>
                </c:pt>
                <c:pt idx="41">
                  <c:v>132.59385805665173</c:v>
                </c:pt>
                <c:pt idx="42">
                  <c:v>141.20250350593747</c:v>
                </c:pt>
                <c:pt idx="43">
                  <c:v>149.81114895522327</c:v>
                </c:pt>
                <c:pt idx="44">
                  <c:v>158.41979440450902</c:v>
                </c:pt>
                <c:pt idx="45">
                  <c:v>167.02843985379477</c:v>
                </c:pt>
                <c:pt idx="46">
                  <c:v>175.63708530308057</c:v>
                </c:pt>
                <c:pt idx="47">
                  <c:v>184.24573075236631</c:v>
                </c:pt>
                <c:pt idx="48">
                  <c:v>192.85437620165206</c:v>
                </c:pt>
                <c:pt idx="49">
                  <c:v>201.4630216509378</c:v>
                </c:pt>
                <c:pt idx="50">
                  <c:v>210.07166710022355</c:v>
                </c:pt>
                <c:pt idx="51">
                  <c:v>218.68031254950935</c:v>
                </c:pt>
                <c:pt idx="52">
                  <c:v>227.2889579987951</c:v>
                </c:pt>
                <c:pt idx="53">
                  <c:v>235.89760344808084</c:v>
                </c:pt>
                <c:pt idx="54">
                  <c:v>244.50624889736665</c:v>
                </c:pt>
                <c:pt idx="55">
                  <c:v>253.11489434665239</c:v>
                </c:pt>
                <c:pt idx="56">
                  <c:v>261.72353979593811</c:v>
                </c:pt>
                <c:pt idx="57">
                  <c:v>270.33218524522385</c:v>
                </c:pt>
                <c:pt idx="58">
                  <c:v>278.9408306945096</c:v>
                </c:pt>
                <c:pt idx="59">
                  <c:v>287.5494761437954</c:v>
                </c:pt>
                <c:pt idx="60">
                  <c:v>296.15812159308115</c:v>
                </c:pt>
                <c:pt idx="61">
                  <c:v>304.76676704236695</c:v>
                </c:pt>
                <c:pt idx="62">
                  <c:v>313.3754124916527</c:v>
                </c:pt>
                <c:pt idx="63">
                  <c:v>321.98405794093844</c:v>
                </c:pt>
                <c:pt idx="64">
                  <c:v>330.59270339022419</c:v>
                </c:pt>
                <c:pt idx="65">
                  <c:v>339.20134883950993</c:v>
                </c:pt>
                <c:pt idx="66">
                  <c:v>347.80999428879568</c:v>
                </c:pt>
                <c:pt idx="67">
                  <c:v>356.41863973808142</c:v>
                </c:pt>
                <c:pt idx="68">
                  <c:v>365.02728518736717</c:v>
                </c:pt>
                <c:pt idx="69">
                  <c:v>373.63593063665303</c:v>
                </c:pt>
                <c:pt idx="70">
                  <c:v>382.24457608593877</c:v>
                </c:pt>
                <c:pt idx="71">
                  <c:v>390.85322153522452</c:v>
                </c:pt>
                <c:pt idx="72">
                  <c:v>399.46186698451027</c:v>
                </c:pt>
                <c:pt idx="73">
                  <c:v>408.07051243379601</c:v>
                </c:pt>
                <c:pt idx="74">
                  <c:v>416.67915788308176</c:v>
                </c:pt>
                <c:pt idx="75">
                  <c:v>425.2878033323675</c:v>
                </c:pt>
                <c:pt idx="76">
                  <c:v>433.89644878165336</c:v>
                </c:pt>
                <c:pt idx="77">
                  <c:v>442.50509423093911</c:v>
                </c:pt>
                <c:pt idx="78">
                  <c:v>451.11373968022485</c:v>
                </c:pt>
                <c:pt idx="79">
                  <c:v>459.7223851295106</c:v>
                </c:pt>
                <c:pt idx="80">
                  <c:v>468.33103057879634</c:v>
                </c:pt>
                <c:pt idx="81">
                  <c:v>476.93967602808209</c:v>
                </c:pt>
                <c:pt idx="82">
                  <c:v>485.54832147736784</c:v>
                </c:pt>
                <c:pt idx="83">
                  <c:v>494.15696692665358</c:v>
                </c:pt>
                <c:pt idx="84">
                  <c:v>502.76561237593933</c:v>
                </c:pt>
                <c:pt idx="85">
                  <c:v>511.37425782522519</c:v>
                </c:pt>
                <c:pt idx="86">
                  <c:v>519.98290327451093</c:v>
                </c:pt>
                <c:pt idx="87">
                  <c:v>528.59154872379656</c:v>
                </c:pt>
                <c:pt idx="88">
                  <c:v>537.20019417308242</c:v>
                </c:pt>
                <c:pt idx="89">
                  <c:v>545.80883962236805</c:v>
                </c:pt>
                <c:pt idx="90">
                  <c:v>554.41748507165391</c:v>
                </c:pt>
                <c:pt idx="91">
                  <c:v>563.02613052093955</c:v>
                </c:pt>
                <c:pt idx="92">
                  <c:v>571.63477597022541</c:v>
                </c:pt>
                <c:pt idx="93">
                  <c:v>580.24342141951126</c:v>
                </c:pt>
                <c:pt idx="94">
                  <c:v>588.8520668687969</c:v>
                </c:pt>
                <c:pt idx="95">
                  <c:v>597.46071231808276</c:v>
                </c:pt>
                <c:pt idx="96">
                  <c:v>606.06935776736839</c:v>
                </c:pt>
                <c:pt idx="97">
                  <c:v>614.67800321665425</c:v>
                </c:pt>
                <c:pt idx="98">
                  <c:v>623.28664866593988</c:v>
                </c:pt>
                <c:pt idx="99">
                  <c:v>631.89529411522585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-18.937877491425979</c:v>
                </c:pt>
                <c:pt idx="1">
                  <c:v>-18.937877491425979</c:v>
                </c:pt>
                <c:pt idx="2">
                  <c:v>-18.917682279938163</c:v>
                </c:pt>
                <c:pt idx="3">
                  <c:v>-18.832867082207741</c:v>
                </c:pt>
                <c:pt idx="4">
                  <c:v>-18.681845199907194</c:v>
                </c:pt>
                <c:pt idx="5">
                  <c:v>-18.464616633036517</c:v>
                </c:pt>
                <c:pt idx="6">
                  <c:v>-18.181181381595717</c:v>
                </c:pt>
                <c:pt idx="7">
                  <c:v>-17.831539445584784</c:v>
                </c:pt>
                <c:pt idx="8">
                  <c:v>-17.415690825003729</c:v>
                </c:pt>
                <c:pt idx="9">
                  <c:v>-16.933635519852544</c:v>
                </c:pt>
                <c:pt idx="10">
                  <c:v>-16.385373530131236</c:v>
                </c:pt>
                <c:pt idx="11">
                  <c:v>-15.770904855839797</c:v>
                </c:pt>
                <c:pt idx="12">
                  <c:v>-15.090229496978232</c:v>
                </c:pt>
                <c:pt idx="13">
                  <c:v>-14.343347453546539</c:v>
                </c:pt>
                <c:pt idx="14">
                  <c:v>-13.530258725544718</c:v>
                </c:pt>
                <c:pt idx="15">
                  <c:v>-12.65096331297277</c:v>
                </c:pt>
                <c:pt idx="16">
                  <c:v>-11.705461215830697</c:v>
                </c:pt>
                <c:pt idx="17">
                  <c:v>-10.693752434118498</c:v>
                </c:pt>
                <c:pt idx="18">
                  <c:v>-9.6158369678361684</c:v>
                </c:pt>
                <c:pt idx="19">
                  <c:v>-8.4717148169837095</c:v>
                </c:pt>
                <c:pt idx="20">
                  <c:v>-7.2613859815611299</c:v>
                </c:pt>
                <c:pt idx="21">
                  <c:v>-5.9848504615684224</c:v>
                </c:pt>
                <c:pt idx="22">
                  <c:v>-4.6421082570055816</c:v>
                </c:pt>
                <c:pt idx="23">
                  <c:v>-3.1805778772646192</c:v>
                </c:pt>
                <c:pt idx="24">
                  <c:v>-1.5245925777636167</c:v>
                </c:pt>
                <c:pt idx="25">
                  <c:v>0.32644854904626075</c:v>
                </c:pt>
                <c:pt idx="26">
                  <c:v>2.3725455031650209</c:v>
                </c:pt>
                <c:pt idx="27">
                  <c:v>4.6136982845926582</c:v>
                </c:pt>
                <c:pt idx="28">
                  <c:v>7.0499068933291635</c:v>
                </c:pt>
                <c:pt idx="29">
                  <c:v>9.6811713293745445</c:v>
                </c:pt>
                <c:pt idx="30">
                  <c:v>12.50749159272881</c:v>
                </c:pt>
                <c:pt idx="31">
                  <c:v>15.528867683391953</c:v>
                </c:pt>
                <c:pt idx="32">
                  <c:v>18.745299601363961</c:v>
                </c:pt>
                <c:pt idx="33">
                  <c:v>22.156787346644844</c:v>
                </c:pt>
                <c:pt idx="34">
                  <c:v>25.763330919234605</c:v>
                </c:pt>
                <c:pt idx="35">
                  <c:v>29.564930319133264</c:v>
                </c:pt>
                <c:pt idx="36">
                  <c:v>33.56158554634078</c:v>
                </c:pt>
                <c:pt idx="37">
                  <c:v>37.753296600857155</c:v>
                </c:pt>
                <c:pt idx="38">
                  <c:v>42.140063482682457</c:v>
                </c:pt>
                <c:pt idx="39">
                  <c:v>46.721886191816587</c:v>
                </c:pt>
                <c:pt idx="40">
                  <c:v>51.498764728259609</c:v>
                </c:pt>
                <c:pt idx="41">
                  <c:v>56.4706990920115</c:v>
                </c:pt>
                <c:pt idx="42">
                  <c:v>61.637689283072255</c:v>
                </c:pt>
                <c:pt idx="43">
                  <c:v>66.999735301441945</c:v>
                </c:pt>
                <c:pt idx="44">
                  <c:v>72.556837147120447</c:v>
                </c:pt>
                <c:pt idx="45">
                  <c:v>78.308994820107856</c:v>
                </c:pt>
                <c:pt idx="46">
                  <c:v>84.256208320404156</c:v>
                </c:pt>
                <c:pt idx="47">
                  <c:v>90.398477648009305</c:v>
                </c:pt>
                <c:pt idx="48">
                  <c:v>96.735802802923331</c:v>
                </c:pt>
                <c:pt idx="49">
                  <c:v>103.26818378514622</c:v>
                </c:pt>
                <c:pt idx="50">
                  <c:v>109.995620594678</c:v>
                </c:pt>
                <c:pt idx="51">
                  <c:v>116.91811323151869</c:v>
                </c:pt>
                <c:pt idx="52">
                  <c:v>124.03566169566821</c:v>
                </c:pt>
                <c:pt idx="53">
                  <c:v>131.34826598712661</c:v>
                </c:pt>
                <c:pt idx="54">
                  <c:v>138.85592610589393</c:v>
                </c:pt>
                <c:pt idx="55">
                  <c:v>146.55864205197008</c:v>
                </c:pt>
                <c:pt idx="56">
                  <c:v>154.4564138253551</c:v>
                </c:pt>
                <c:pt idx="57">
                  <c:v>162.54924142604904</c:v>
                </c:pt>
                <c:pt idx="58">
                  <c:v>170.83712485405181</c:v>
                </c:pt>
                <c:pt idx="59">
                  <c:v>179.3200641093635</c:v>
                </c:pt>
                <c:pt idx="60">
                  <c:v>187.99805919198405</c:v>
                </c:pt>
                <c:pt idx="61">
                  <c:v>196.8711101019135</c:v>
                </c:pt>
                <c:pt idx="62">
                  <c:v>205.93921683915181</c:v>
                </c:pt>
                <c:pt idx="63">
                  <c:v>215.20237940369893</c:v>
                </c:pt>
                <c:pt idx="64">
                  <c:v>224.66059779555493</c:v>
                </c:pt>
                <c:pt idx="65">
                  <c:v>234.31387201471986</c:v>
                </c:pt>
                <c:pt idx="66">
                  <c:v>244.16220206119365</c:v>
                </c:pt>
                <c:pt idx="67">
                  <c:v>254.20558793497634</c:v>
                </c:pt>
                <c:pt idx="68">
                  <c:v>264.44402963606791</c:v>
                </c:pt>
                <c:pt idx="69">
                  <c:v>274.8775271644684</c:v>
                </c:pt>
                <c:pt idx="70">
                  <c:v>285.5060805201777</c:v>
                </c:pt>
                <c:pt idx="71">
                  <c:v>296.32968970319592</c:v>
                </c:pt>
                <c:pt idx="72">
                  <c:v>307.34835471352295</c:v>
                </c:pt>
                <c:pt idx="73">
                  <c:v>318.56207555115878</c:v>
                </c:pt>
                <c:pt idx="74">
                  <c:v>329.97085221610359</c:v>
                </c:pt>
                <c:pt idx="75">
                  <c:v>341.57468470835727</c:v>
                </c:pt>
                <c:pt idx="76">
                  <c:v>353.37357302792003</c:v>
                </c:pt>
                <c:pt idx="77">
                  <c:v>365.36751717479137</c:v>
                </c:pt>
                <c:pt idx="78">
                  <c:v>377.55651714897169</c:v>
                </c:pt>
                <c:pt idx="79">
                  <c:v>389.94057295046088</c:v>
                </c:pt>
                <c:pt idx="80">
                  <c:v>402.51968457925892</c:v>
                </c:pt>
                <c:pt idx="81">
                  <c:v>415.29385203536589</c:v>
                </c:pt>
                <c:pt idx="82">
                  <c:v>428.26307531878172</c:v>
                </c:pt>
                <c:pt idx="83">
                  <c:v>441.42735442950629</c:v>
                </c:pt>
                <c:pt idx="84">
                  <c:v>454.78668936753985</c:v>
                </c:pt>
                <c:pt idx="85">
                  <c:v>468.3410801328825</c:v>
                </c:pt>
                <c:pt idx="86">
                  <c:v>482.09052672553383</c:v>
                </c:pt>
                <c:pt idx="87">
                  <c:v>496.03502914549387</c:v>
                </c:pt>
                <c:pt idx="88">
                  <c:v>510.17458739276316</c:v>
                </c:pt>
                <c:pt idx="89">
                  <c:v>524.50920146734086</c:v>
                </c:pt>
                <c:pt idx="90">
                  <c:v>539.03887136922776</c:v>
                </c:pt>
                <c:pt idx="91">
                  <c:v>553.76359709842325</c:v>
                </c:pt>
                <c:pt idx="92">
                  <c:v>568.68337865492799</c:v>
                </c:pt>
                <c:pt idx="93">
                  <c:v>583.79821603874154</c:v>
                </c:pt>
                <c:pt idx="94">
                  <c:v>599.10810924986379</c:v>
                </c:pt>
                <c:pt idx="95">
                  <c:v>614.61305828829518</c:v>
                </c:pt>
                <c:pt idx="96">
                  <c:v>630.31306315403492</c:v>
                </c:pt>
                <c:pt idx="97">
                  <c:v>646.20812384708415</c:v>
                </c:pt>
                <c:pt idx="98">
                  <c:v>662.29824036744174</c:v>
                </c:pt>
                <c:pt idx="99">
                  <c:v>678.58341271510881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-220.36060536406438</c:v>
                </c:pt>
                <c:pt idx="1">
                  <c:v>-211.75195991477864</c:v>
                </c:pt>
                <c:pt idx="2">
                  <c:v>-203.14331446549286</c:v>
                </c:pt>
                <c:pt idx="3">
                  <c:v>-194.53466901620709</c:v>
                </c:pt>
                <c:pt idx="4">
                  <c:v>-185.92602356692134</c:v>
                </c:pt>
                <c:pt idx="5">
                  <c:v>-177.31737811763563</c:v>
                </c:pt>
                <c:pt idx="6">
                  <c:v>-168.70873266834985</c:v>
                </c:pt>
                <c:pt idx="7">
                  <c:v>-160.10008721906408</c:v>
                </c:pt>
                <c:pt idx="8">
                  <c:v>-151.49144176977833</c:v>
                </c:pt>
                <c:pt idx="9">
                  <c:v>-142.88279632049259</c:v>
                </c:pt>
                <c:pt idx="10">
                  <c:v>-134.27415087120681</c:v>
                </c:pt>
                <c:pt idx="11">
                  <c:v>-125.66550542192104</c:v>
                </c:pt>
                <c:pt idx="12">
                  <c:v>-117.05685997263528</c:v>
                </c:pt>
                <c:pt idx="13">
                  <c:v>-108.44821452334952</c:v>
                </c:pt>
                <c:pt idx="14">
                  <c:v>-99.83956907406376</c:v>
                </c:pt>
                <c:pt idx="15">
                  <c:v>-91.230923624778001</c:v>
                </c:pt>
                <c:pt idx="16">
                  <c:v>-82.622278175492241</c:v>
                </c:pt>
                <c:pt idx="17">
                  <c:v>-74.013632726206509</c:v>
                </c:pt>
                <c:pt idx="18">
                  <c:v>-65.404987276920735</c:v>
                </c:pt>
                <c:pt idx="19">
                  <c:v>-56.796341827634954</c:v>
                </c:pt>
                <c:pt idx="20">
                  <c:v>-48.187696378349209</c:v>
                </c:pt>
                <c:pt idx="21">
                  <c:v>-39.579050929063463</c:v>
                </c:pt>
                <c:pt idx="22">
                  <c:v>-30.970405479777693</c:v>
                </c:pt>
                <c:pt idx="23">
                  <c:v>-22.361760030491919</c:v>
                </c:pt>
                <c:pt idx="24">
                  <c:v>-13.753114581206173</c:v>
                </c:pt>
                <c:pt idx="25">
                  <c:v>-5.1444691319204283</c:v>
                </c:pt>
                <c:pt idx="26">
                  <c:v>3.4641763173653453</c:v>
                </c:pt>
                <c:pt idx="27">
                  <c:v>12.072821766651119</c:v>
                </c:pt>
                <c:pt idx="28">
                  <c:v>20.681467215936863</c:v>
                </c:pt>
                <c:pt idx="29">
                  <c:v>29.290112665222608</c:v>
                </c:pt>
                <c:pt idx="30">
                  <c:v>37.898758114508382</c:v>
                </c:pt>
                <c:pt idx="31">
                  <c:v>46.507403563794156</c:v>
                </c:pt>
                <c:pt idx="32">
                  <c:v>55.116049013079902</c:v>
                </c:pt>
                <c:pt idx="33">
                  <c:v>63.724694462365647</c:v>
                </c:pt>
                <c:pt idx="34">
                  <c:v>72.333339911651393</c:v>
                </c:pt>
                <c:pt idx="35">
                  <c:v>80.941985360937196</c:v>
                </c:pt>
                <c:pt idx="36">
                  <c:v>89.550630810222941</c:v>
                </c:pt>
                <c:pt idx="37">
                  <c:v>98.159276259508687</c:v>
                </c:pt>
                <c:pt idx="38">
                  <c:v>106.76792170879449</c:v>
                </c:pt>
                <c:pt idx="39">
                  <c:v>115.37656715808023</c:v>
                </c:pt>
                <c:pt idx="40">
                  <c:v>123.98521260736598</c:v>
                </c:pt>
                <c:pt idx="41">
                  <c:v>132.59385805665173</c:v>
                </c:pt>
                <c:pt idx="42">
                  <c:v>141.20250350593747</c:v>
                </c:pt>
                <c:pt idx="43">
                  <c:v>149.81114895522327</c:v>
                </c:pt>
                <c:pt idx="44">
                  <c:v>158.41979440450902</c:v>
                </c:pt>
                <c:pt idx="45">
                  <c:v>167.02843985379477</c:v>
                </c:pt>
                <c:pt idx="46">
                  <c:v>175.63708530308057</c:v>
                </c:pt>
                <c:pt idx="47">
                  <c:v>184.24573075236631</c:v>
                </c:pt>
                <c:pt idx="48">
                  <c:v>192.85437620165206</c:v>
                </c:pt>
                <c:pt idx="49">
                  <c:v>201.4630216509378</c:v>
                </c:pt>
                <c:pt idx="50">
                  <c:v>210.07166710022355</c:v>
                </c:pt>
                <c:pt idx="51">
                  <c:v>218.68031254950935</c:v>
                </c:pt>
                <c:pt idx="52">
                  <c:v>227.2889579987951</c:v>
                </c:pt>
                <c:pt idx="53">
                  <c:v>235.89760344808084</c:v>
                </c:pt>
                <c:pt idx="54">
                  <c:v>244.50624889736665</c:v>
                </c:pt>
                <c:pt idx="55">
                  <c:v>253.11489434665239</c:v>
                </c:pt>
                <c:pt idx="56">
                  <c:v>261.72353979593811</c:v>
                </c:pt>
                <c:pt idx="57">
                  <c:v>270.33218524522385</c:v>
                </c:pt>
                <c:pt idx="58">
                  <c:v>278.9408306945096</c:v>
                </c:pt>
                <c:pt idx="59">
                  <c:v>287.5494761437954</c:v>
                </c:pt>
                <c:pt idx="60">
                  <c:v>296.15812159308115</c:v>
                </c:pt>
                <c:pt idx="61">
                  <c:v>304.76676704236695</c:v>
                </c:pt>
                <c:pt idx="62">
                  <c:v>313.3754124916527</c:v>
                </c:pt>
                <c:pt idx="63">
                  <c:v>321.98405794093844</c:v>
                </c:pt>
                <c:pt idx="64">
                  <c:v>330.59270339022419</c:v>
                </c:pt>
                <c:pt idx="65">
                  <c:v>339.20134883950993</c:v>
                </c:pt>
                <c:pt idx="66">
                  <c:v>347.80999428879568</c:v>
                </c:pt>
                <c:pt idx="67">
                  <c:v>356.41863973808142</c:v>
                </c:pt>
                <c:pt idx="68">
                  <c:v>365.02728518736717</c:v>
                </c:pt>
                <c:pt idx="69">
                  <c:v>373.63593063665303</c:v>
                </c:pt>
                <c:pt idx="70">
                  <c:v>382.24457608593877</c:v>
                </c:pt>
                <c:pt idx="71">
                  <c:v>390.85322153522452</c:v>
                </c:pt>
                <c:pt idx="72">
                  <c:v>399.46186698451027</c:v>
                </c:pt>
                <c:pt idx="73">
                  <c:v>408.07051243379601</c:v>
                </c:pt>
                <c:pt idx="74">
                  <c:v>416.67915788308176</c:v>
                </c:pt>
                <c:pt idx="75">
                  <c:v>425.2878033323675</c:v>
                </c:pt>
                <c:pt idx="76">
                  <c:v>433.89644878165336</c:v>
                </c:pt>
                <c:pt idx="77">
                  <c:v>442.50509423093911</c:v>
                </c:pt>
                <c:pt idx="78">
                  <c:v>451.11373968022485</c:v>
                </c:pt>
                <c:pt idx="79">
                  <c:v>459.7223851295106</c:v>
                </c:pt>
                <c:pt idx="80">
                  <c:v>468.33103057879634</c:v>
                </c:pt>
                <c:pt idx="81">
                  <c:v>476.93967602808209</c:v>
                </c:pt>
                <c:pt idx="82">
                  <c:v>485.54832147736784</c:v>
                </c:pt>
                <c:pt idx="83">
                  <c:v>494.15696692665358</c:v>
                </c:pt>
                <c:pt idx="84">
                  <c:v>502.76561237593933</c:v>
                </c:pt>
                <c:pt idx="85">
                  <c:v>511.37425782522519</c:v>
                </c:pt>
                <c:pt idx="86">
                  <c:v>519.98290327451093</c:v>
                </c:pt>
                <c:pt idx="87">
                  <c:v>528.59154872379656</c:v>
                </c:pt>
                <c:pt idx="88">
                  <c:v>537.20019417308242</c:v>
                </c:pt>
                <c:pt idx="89">
                  <c:v>545.80883962236805</c:v>
                </c:pt>
                <c:pt idx="90">
                  <c:v>554.41748507165391</c:v>
                </c:pt>
                <c:pt idx="91">
                  <c:v>563.02613052093955</c:v>
                </c:pt>
                <c:pt idx="92">
                  <c:v>571.63477597022541</c:v>
                </c:pt>
                <c:pt idx="93">
                  <c:v>580.24342141951126</c:v>
                </c:pt>
                <c:pt idx="94">
                  <c:v>588.8520668687969</c:v>
                </c:pt>
                <c:pt idx="95">
                  <c:v>597.46071231808276</c:v>
                </c:pt>
                <c:pt idx="96">
                  <c:v>606.06935776736839</c:v>
                </c:pt>
                <c:pt idx="97">
                  <c:v>614.67800321665425</c:v>
                </c:pt>
                <c:pt idx="98">
                  <c:v>623.28664866593988</c:v>
                </c:pt>
                <c:pt idx="99">
                  <c:v>631.89529411522585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808.45602965864691</c:v>
                </c:pt>
                <c:pt idx="1">
                  <c:v>808.45602965864691</c:v>
                </c:pt>
                <c:pt idx="2">
                  <c:v>808.45679101638689</c:v>
                </c:pt>
                <c:pt idx="3">
                  <c:v>808.45998854206277</c:v>
                </c:pt>
                <c:pt idx="4">
                  <c:v>808.4656820540655</c:v>
                </c:pt>
                <c:pt idx="5">
                  <c:v>808.47387155239483</c:v>
                </c:pt>
                <c:pt idx="6">
                  <c:v>808.48455703705088</c:v>
                </c:pt>
                <c:pt idx="7">
                  <c:v>808.49773850803354</c:v>
                </c:pt>
                <c:pt idx="8">
                  <c:v>808.51341596534303</c:v>
                </c:pt>
                <c:pt idx="9">
                  <c:v>808.53158940897902</c:v>
                </c:pt>
                <c:pt idx="10">
                  <c:v>808.55225883894195</c:v>
                </c:pt>
                <c:pt idx="11">
                  <c:v>808.57542425523138</c:v>
                </c:pt>
                <c:pt idx="12">
                  <c:v>808.60108565784753</c:v>
                </c:pt>
                <c:pt idx="13">
                  <c:v>808.62924304679052</c:v>
                </c:pt>
                <c:pt idx="14">
                  <c:v>808.65989642206011</c:v>
                </c:pt>
                <c:pt idx="15">
                  <c:v>808.69304578365643</c:v>
                </c:pt>
                <c:pt idx="16">
                  <c:v>808.72869113157947</c:v>
                </c:pt>
                <c:pt idx="17">
                  <c:v>808.76683246582911</c:v>
                </c:pt>
                <c:pt idx="18">
                  <c:v>808.80746978640548</c:v>
                </c:pt>
                <c:pt idx="19">
                  <c:v>808.85060309330868</c:v>
                </c:pt>
                <c:pt idx="20">
                  <c:v>808.89623238653837</c:v>
                </c:pt>
                <c:pt idx="21">
                  <c:v>808.9443576660949</c:v>
                </c:pt>
                <c:pt idx="22">
                  <c:v>808.99497893197804</c:v>
                </c:pt>
                <c:pt idx="23">
                  <c:v>809.09104131176116</c:v>
                </c:pt>
                <c:pt idx="24">
                  <c:v>809.29434446082746</c:v>
                </c:pt>
                <c:pt idx="25">
                  <c:v>809.60537916121916</c:v>
                </c:pt>
                <c:pt idx="26">
                  <c:v>810.02414541293649</c:v>
                </c:pt>
                <c:pt idx="27">
                  <c:v>810.55064321597911</c:v>
                </c:pt>
                <c:pt idx="28">
                  <c:v>811.18487257034735</c:v>
                </c:pt>
                <c:pt idx="29">
                  <c:v>811.92683347604111</c:v>
                </c:pt>
                <c:pt idx="30">
                  <c:v>812.77652593306016</c:v>
                </c:pt>
                <c:pt idx="31">
                  <c:v>813.73394994140483</c:v>
                </c:pt>
                <c:pt idx="32">
                  <c:v>814.79910550107502</c:v>
                </c:pt>
                <c:pt idx="33">
                  <c:v>815.97199261207061</c:v>
                </c:pt>
                <c:pt idx="34">
                  <c:v>817.2526112743916</c:v>
                </c:pt>
                <c:pt idx="35">
                  <c:v>818.64096148803822</c:v>
                </c:pt>
                <c:pt idx="36">
                  <c:v>820.13704325301023</c:v>
                </c:pt>
                <c:pt idx="37">
                  <c:v>821.74085656930777</c:v>
                </c:pt>
                <c:pt idx="38">
                  <c:v>823.4524014369307</c:v>
                </c:pt>
                <c:pt idx="39">
                  <c:v>825.27167785587915</c:v>
                </c:pt>
                <c:pt idx="40">
                  <c:v>827.19868582615311</c:v>
                </c:pt>
                <c:pt idx="41">
                  <c:v>829.23342534775259</c:v>
                </c:pt>
                <c:pt idx="42">
                  <c:v>831.37589642067746</c:v>
                </c:pt>
                <c:pt idx="43">
                  <c:v>833.62609904492786</c:v>
                </c:pt>
                <c:pt idx="44">
                  <c:v>835.98403322050376</c:v>
                </c:pt>
                <c:pt idx="45">
                  <c:v>838.44969894740507</c:v>
                </c:pt>
                <c:pt idx="46">
                  <c:v>841.02309622563189</c:v>
                </c:pt>
                <c:pt idx="47">
                  <c:v>843.70422505518422</c:v>
                </c:pt>
                <c:pt idx="48">
                  <c:v>846.49308543606196</c:v>
                </c:pt>
                <c:pt idx="49">
                  <c:v>849.3896773682651</c:v>
                </c:pt>
                <c:pt idx="50">
                  <c:v>852.39400085179386</c:v>
                </c:pt>
                <c:pt idx="51">
                  <c:v>855.50605588664814</c:v>
                </c:pt>
                <c:pt idx="52">
                  <c:v>858.72584247282771</c:v>
                </c:pt>
                <c:pt idx="53">
                  <c:v>862.0533606103329</c:v>
                </c:pt>
                <c:pt idx="54">
                  <c:v>865.4886102991635</c:v>
                </c:pt>
                <c:pt idx="55">
                  <c:v>869.03159153931961</c:v>
                </c:pt>
                <c:pt idx="56">
                  <c:v>872.68230433080123</c:v>
                </c:pt>
                <c:pt idx="57">
                  <c:v>876.44074867360825</c:v>
                </c:pt>
                <c:pt idx="58">
                  <c:v>880.30692456774091</c:v>
                </c:pt>
                <c:pt idx="59">
                  <c:v>884.28083201319885</c:v>
                </c:pt>
                <c:pt idx="60">
                  <c:v>888.36247100998241</c:v>
                </c:pt>
                <c:pt idx="61">
                  <c:v>892.55184155809138</c:v>
                </c:pt>
                <c:pt idx="62">
                  <c:v>896.84894365752587</c:v>
                </c:pt>
                <c:pt idx="63">
                  <c:v>901.25377730828575</c:v>
                </c:pt>
                <c:pt idx="64">
                  <c:v>905.76634251037115</c:v>
                </c:pt>
                <c:pt idx="65">
                  <c:v>910.38663926378194</c:v>
                </c:pt>
                <c:pt idx="66">
                  <c:v>915.11466756851837</c:v>
                </c:pt>
                <c:pt idx="67">
                  <c:v>919.9504274245802</c:v>
                </c:pt>
                <c:pt idx="68">
                  <c:v>924.89391883196754</c:v>
                </c:pt>
                <c:pt idx="69">
                  <c:v>929.9451417906804</c:v>
                </c:pt>
                <c:pt idx="70">
                  <c:v>935.10409630071865</c:v>
                </c:pt>
                <c:pt idx="71">
                  <c:v>940.37078236208242</c:v>
                </c:pt>
                <c:pt idx="72">
                  <c:v>945.74519997477159</c:v>
                </c:pt>
                <c:pt idx="73">
                  <c:v>951.22734913878628</c:v>
                </c:pt>
                <c:pt idx="74">
                  <c:v>956.81722985412648</c:v>
                </c:pt>
                <c:pt idx="75">
                  <c:v>962.51484212079208</c:v>
                </c:pt>
                <c:pt idx="76">
                  <c:v>968.32018593878331</c:v>
                </c:pt>
                <c:pt idx="77">
                  <c:v>974.23326130809994</c:v>
                </c:pt>
                <c:pt idx="78">
                  <c:v>980.25406822874209</c:v>
                </c:pt>
                <c:pt idx="79">
                  <c:v>986.38260670070952</c:v>
                </c:pt>
                <c:pt idx="80">
                  <c:v>992.61887672400269</c:v>
                </c:pt>
                <c:pt idx="81">
                  <c:v>998.96287829862115</c:v>
                </c:pt>
                <c:pt idx="82">
                  <c:v>1005.4146114245652</c:v>
                </c:pt>
                <c:pt idx="83">
                  <c:v>1011.9740761018346</c:v>
                </c:pt>
                <c:pt idx="84">
                  <c:v>1018.6412723304296</c:v>
                </c:pt>
                <c:pt idx="85">
                  <c:v>1025.4162001103502</c:v>
                </c:pt>
                <c:pt idx="86">
                  <c:v>1032.2988594415961</c:v>
                </c:pt>
                <c:pt idx="87">
                  <c:v>1039.2892503241674</c:v>
                </c:pt>
                <c:pt idx="88">
                  <c:v>1046.3873727580642</c:v>
                </c:pt>
                <c:pt idx="89">
                  <c:v>1053.5932267432866</c:v>
                </c:pt>
                <c:pt idx="90">
                  <c:v>1060.9068122798344</c:v>
                </c:pt>
                <c:pt idx="91">
                  <c:v>1068.3281293677078</c:v>
                </c:pt>
                <c:pt idx="92">
                  <c:v>1075.8571780069065</c:v>
                </c:pt>
                <c:pt idx="93">
                  <c:v>1083.4939581974309</c:v>
                </c:pt>
                <c:pt idx="94">
                  <c:v>1091.2384699392805</c:v>
                </c:pt>
                <c:pt idx="95">
                  <c:v>1099.0907132324558</c:v>
                </c:pt>
                <c:pt idx="96">
                  <c:v>1107.0506880769565</c:v>
                </c:pt>
                <c:pt idx="97">
                  <c:v>1115.1183944727827</c:v>
                </c:pt>
                <c:pt idx="98">
                  <c:v>1123.2938324199342</c:v>
                </c:pt>
                <c:pt idx="99">
                  <c:v>1131.5770019184115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-182.83123144345009</c:v>
                </c:pt>
                <c:pt idx="1">
                  <c:v>-174.54856326047766</c:v>
                </c:pt>
                <c:pt idx="2">
                  <c:v>-166.26589507750526</c:v>
                </c:pt>
                <c:pt idx="3">
                  <c:v>-157.98322689453286</c:v>
                </c:pt>
                <c:pt idx="4">
                  <c:v>-149.70055871156043</c:v>
                </c:pt>
                <c:pt idx="5">
                  <c:v>-141.41789052858803</c:v>
                </c:pt>
                <c:pt idx="6">
                  <c:v>-133.13522234561566</c:v>
                </c:pt>
                <c:pt idx="7">
                  <c:v>-124.85255416264324</c:v>
                </c:pt>
                <c:pt idx="8">
                  <c:v>-116.56988597967083</c:v>
                </c:pt>
                <c:pt idx="9">
                  <c:v>-108.28721779669841</c:v>
                </c:pt>
                <c:pt idx="10">
                  <c:v>-100.004549613726</c:v>
                </c:pt>
                <c:pt idx="11">
                  <c:v>-91.721881430753612</c:v>
                </c:pt>
                <c:pt idx="12">
                  <c:v>-83.439213247781197</c:v>
                </c:pt>
                <c:pt idx="13">
                  <c:v>-75.156545064808782</c:v>
                </c:pt>
                <c:pt idx="14">
                  <c:v>-66.873876881836395</c:v>
                </c:pt>
                <c:pt idx="15">
                  <c:v>-58.59120869886398</c:v>
                </c:pt>
                <c:pt idx="16">
                  <c:v>-50.308540515891565</c:v>
                </c:pt>
                <c:pt idx="17">
                  <c:v>-42.025872332919157</c:v>
                </c:pt>
                <c:pt idx="18">
                  <c:v>-33.743204149946742</c:v>
                </c:pt>
                <c:pt idx="19">
                  <c:v>-25.460535966974334</c:v>
                </c:pt>
                <c:pt idx="20">
                  <c:v>-17.177867784001922</c:v>
                </c:pt>
                <c:pt idx="21">
                  <c:v>-8.8951996010295407</c:v>
                </c:pt>
                <c:pt idx="22">
                  <c:v>-0.61253141805712952</c:v>
                </c:pt>
                <c:pt idx="23">
                  <c:v>7.6701367649152816</c:v>
                </c:pt>
                <c:pt idx="24">
                  <c:v>15.952804947887692</c:v>
                </c:pt>
                <c:pt idx="25">
                  <c:v>24.235473130860104</c:v>
                </c:pt>
                <c:pt idx="26">
                  <c:v>32.518141313832515</c:v>
                </c:pt>
                <c:pt idx="27">
                  <c:v>40.800809496804924</c:v>
                </c:pt>
                <c:pt idx="28">
                  <c:v>49.08347767977731</c:v>
                </c:pt>
                <c:pt idx="29">
                  <c:v>57.366145862749718</c:v>
                </c:pt>
                <c:pt idx="30">
                  <c:v>65.648814045722133</c:v>
                </c:pt>
                <c:pt idx="31">
                  <c:v>73.931482228694549</c:v>
                </c:pt>
                <c:pt idx="32">
                  <c:v>82.214150411666949</c:v>
                </c:pt>
                <c:pt idx="33">
                  <c:v>90.496818594639365</c:v>
                </c:pt>
                <c:pt idx="34">
                  <c:v>98.77948677761178</c:v>
                </c:pt>
                <c:pt idx="35">
                  <c:v>107.06215496058418</c:v>
                </c:pt>
                <c:pt idx="36">
                  <c:v>115.3448231435566</c:v>
                </c:pt>
                <c:pt idx="37">
                  <c:v>123.62749132652901</c:v>
                </c:pt>
                <c:pt idx="38">
                  <c:v>131.91015950950143</c:v>
                </c:pt>
                <c:pt idx="39">
                  <c:v>140.19282769247383</c:v>
                </c:pt>
                <c:pt idx="40">
                  <c:v>148.47549587544626</c:v>
                </c:pt>
                <c:pt idx="41">
                  <c:v>156.7581640584186</c:v>
                </c:pt>
                <c:pt idx="42">
                  <c:v>165.040832241391</c:v>
                </c:pt>
                <c:pt idx="43">
                  <c:v>173.32350042436343</c:v>
                </c:pt>
                <c:pt idx="44">
                  <c:v>181.60616860733583</c:v>
                </c:pt>
                <c:pt idx="45">
                  <c:v>189.88883679030823</c:v>
                </c:pt>
                <c:pt idx="46">
                  <c:v>198.17150497328066</c:v>
                </c:pt>
                <c:pt idx="47">
                  <c:v>206.45417315625306</c:v>
                </c:pt>
                <c:pt idx="48">
                  <c:v>214.73684133922546</c:v>
                </c:pt>
                <c:pt idx="49">
                  <c:v>223.01950952219789</c:v>
                </c:pt>
                <c:pt idx="50">
                  <c:v>231.30217770517029</c:v>
                </c:pt>
                <c:pt idx="51">
                  <c:v>239.5848458881427</c:v>
                </c:pt>
                <c:pt idx="52">
                  <c:v>247.86751407111512</c:v>
                </c:pt>
                <c:pt idx="53">
                  <c:v>256.15018225408755</c:v>
                </c:pt>
                <c:pt idx="54">
                  <c:v>264.43285043705993</c:v>
                </c:pt>
                <c:pt idx="55">
                  <c:v>272.71551862003236</c:v>
                </c:pt>
                <c:pt idx="56">
                  <c:v>280.99818680300473</c:v>
                </c:pt>
                <c:pt idx="57">
                  <c:v>289.2808549859771</c:v>
                </c:pt>
                <c:pt idx="58">
                  <c:v>297.56352316894953</c:v>
                </c:pt>
                <c:pt idx="59">
                  <c:v>305.84619135192196</c:v>
                </c:pt>
                <c:pt idx="60">
                  <c:v>314.12885953489433</c:v>
                </c:pt>
                <c:pt idx="61">
                  <c:v>322.41152771786676</c:v>
                </c:pt>
                <c:pt idx="62">
                  <c:v>330.69419590083919</c:v>
                </c:pt>
                <c:pt idx="63">
                  <c:v>338.97686408381156</c:v>
                </c:pt>
                <c:pt idx="64">
                  <c:v>347.25953226678399</c:v>
                </c:pt>
                <c:pt idx="65">
                  <c:v>355.54220044975636</c:v>
                </c:pt>
                <c:pt idx="66">
                  <c:v>363.82486863272879</c:v>
                </c:pt>
                <c:pt idx="67">
                  <c:v>372.10753681570117</c:v>
                </c:pt>
                <c:pt idx="68">
                  <c:v>380.39020499867365</c:v>
                </c:pt>
                <c:pt idx="69">
                  <c:v>388.67287318164597</c:v>
                </c:pt>
                <c:pt idx="70">
                  <c:v>396.95554136461845</c:v>
                </c:pt>
                <c:pt idx="71">
                  <c:v>405.23820954759083</c:v>
                </c:pt>
                <c:pt idx="72">
                  <c:v>413.52087773056326</c:v>
                </c:pt>
                <c:pt idx="73">
                  <c:v>421.80354591353563</c:v>
                </c:pt>
                <c:pt idx="74">
                  <c:v>430.08621409650812</c:v>
                </c:pt>
                <c:pt idx="75">
                  <c:v>438.36888227948043</c:v>
                </c:pt>
                <c:pt idx="76">
                  <c:v>446.65155046245292</c:v>
                </c:pt>
                <c:pt idx="77">
                  <c:v>454.93421864542529</c:v>
                </c:pt>
                <c:pt idx="78">
                  <c:v>463.21688682839778</c:v>
                </c:pt>
                <c:pt idx="79">
                  <c:v>471.49955501137009</c:v>
                </c:pt>
                <c:pt idx="80">
                  <c:v>479.78222319434258</c:v>
                </c:pt>
                <c:pt idx="81">
                  <c:v>488.06489137731495</c:v>
                </c:pt>
                <c:pt idx="82">
                  <c:v>496.34755956028727</c:v>
                </c:pt>
                <c:pt idx="83">
                  <c:v>504.63022774325975</c:v>
                </c:pt>
                <c:pt idx="84">
                  <c:v>512.91289592623207</c:v>
                </c:pt>
                <c:pt idx="85">
                  <c:v>521.19556410920461</c:v>
                </c:pt>
                <c:pt idx="86">
                  <c:v>529.47823229217693</c:v>
                </c:pt>
                <c:pt idx="87">
                  <c:v>537.76090047514936</c:v>
                </c:pt>
                <c:pt idx="88">
                  <c:v>546.04356865812179</c:v>
                </c:pt>
                <c:pt idx="89">
                  <c:v>554.32623684109421</c:v>
                </c:pt>
                <c:pt idx="90">
                  <c:v>562.60890502406653</c:v>
                </c:pt>
                <c:pt idx="91">
                  <c:v>570.89157320703907</c:v>
                </c:pt>
                <c:pt idx="92">
                  <c:v>579.17424139001139</c:v>
                </c:pt>
                <c:pt idx="93">
                  <c:v>587.45690957298382</c:v>
                </c:pt>
                <c:pt idx="94">
                  <c:v>595.73957775595625</c:v>
                </c:pt>
                <c:pt idx="95">
                  <c:v>604.02224593892868</c:v>
                </c:pt>
                <c:pt idx="96">
                  <c:v>612.30491412190099</c:v>
                </c:pt>
                <c:pt idx="97">
                  <c:v>620.58758230487342</c:v>
                </c:pt>
                <c:pt idx="98">
                  <c:v>628.87025048784585</c:v>
                </c:pt>
                <c:pt idx="99">
                  <c:v>637.15291867081828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-15.637649007673202</c:v>
                </c:pt>
                <c:pt idx="1">
                  <c:v>-15.637649007673202</c:v>
                </c:pt>
                <c:pt idx="2">
                  <c:v>-15.605269083502504</c:v>
                </c:pt>
                <c:pt idx="3">
                  <c:v>-15.50105453283393</c:v>
                </c:pt>
                <c:pt idx="4">
                  <c:v>-15.324911295789082</c:v>
                </c:pt>
                <c:pt idx="5">
                  <c:v>-15.076839372367964</c:v>
                </c:pt>
                <c:pt idx="6">
                  <c:v>-14.756838762570576</c:v>
                </c:pt>
                <c:pt idx="7">
                  <c:v>-14.364909466396917</c:v>
                </c:pt>
                <c:pt idx="8">
                  <c:v>-13.901051483846986</c:v>
                </c:pt>
                <c:pt idx="9">
                  <c:v>-13.365264814920785</c:v>
                </c:pt>
                <c:pt idx="10">
                  <c:v>-12.757549459618311</c:v>
                </c:pt>
                <c:pt idx="11">
                  <c:v>-12.077905417939572</c:v>
                </c:pt>
                <c:pt idx="12">
                  <c:v>-11.326332689884559</c:v>
                </c:pt>
                <c:pt idx="13">
                  <c:v>-10.502831275453273</c:v>
                </c:pt>
                <c:pt idx="14">
                  <c:v>-9.6074011746457177</c:v>
                </c:pt>
                <c:pt idx="15">
                  <c:v>-8.640042387461893</c:v>
                </c:pt>
                <c:pt idx="16">
                  <c:v>-7.6007549139017963</c:v>
                </c:pt>
                <c:pt idx="17">
                  <c:v>-6.4895387539654275</c:v>
                </c:pt>
                <c:pt idx="18">
                  <c:v>-5.3063939076527893</c:v>
                </c:pt>
                <c:pt idx="19">
                  <c:v>-4.033817762617554</c:v>
                </c:pt>
                <c:pt idx="20">
                  <c:v>-2.5899853254584615</c:v>
                </c:pt>
                <c:pt idx="21">
                  <c:v>-0.96450900021946651</c:v>
                </c:pt>
                <c:pt idx="22">
                  <c:v>0.84261121309944143</c:v>
                </c:pt>
                <c:pt idx="23">
                  <c:v>2.8313753144982572</c:v>
                </c:pt>
                <c:pt idx="24">
                  <c:v>5.0017833039769801</c:v>
                </c:pt>
                <c:pt idx="25">
                  <c:v>7.3538351815356116</c:v>
                </c:pt>
                <c:pt idx="26">
                  <c:v>9.8875309471741488</c:v>
                </c:pt>
                <c:pt idx="27">
                  <c:v>12.602870600892595</c:v>
                </c:pt>
                <c:pt idx="28">
                  <c:v>15.499854142690941</c:v>
                </c:pt>
                <c:pt idx="29">
                  <c:v>18.578481572569203</c:v>
                </c:pt>
                <c:pt idx="30">
                  <c:v>21.838752890527374</c:v>
                </c:pt>
                <c:pt idx="31">
                  <c:v>25.280668096565449</c:v>
                </c:pt>
                <c:pt idx="32">
                  <c:v>28.904227190683432</c:v>
                </c:pt>
                <c:pt idx="33">
                  <c:v>32.709430172881326</c:v>
                </c:pt>
                <c:pt idx="34">
                  <c:v>36.696277043159128</c:v>
                </c:pt>
                <c:pt idx="35">
                  <c:v>40.864767801516834</c:v>
                </c:pt>
                <c:pt idx="36">
                  <c:v>45.214902447954451</c:v>
                </c:pt>
                <c:pt idx="37">
                  <c:v>49.746680982471972</c:v>
                </c:pt>
                <c:pt idx="38">
                  <c:v>54.460103405069404</c:v>
                </c:pt>
                <c:pt idx="39">
                  <c:v>59.35516971574674</c:v>
                </c:pt>
                <c:pt idx="40">
                  <c:v>64.43187991450398</c:v>
                </c:pt>
                <c:pt idx="41">
                  <c:v>69.690234001341111</c:v>
                </c:pt>
                <c:pt idx="42">
                  <c:v>75.130231976258173</c:v>
                </c:pt>
                <c:pt idx="43">
                  <c:v>80.75187383925514</c:v>
                </c:pt>
                <c:pt idx="44">
                  <c:v>86.555159590332025</c:v>
                </c:pt>
                <c:pt idx="45">
                  <c:v>92.5400892294888</c:v>
                </c:pt>
                <c:pt idx="46">
                  <c:v>98.706662756725493</c:v>
                </c:pt>
                <c:pt idx="47">
                  <c:v>105.05488017204209</c:v>
                </c:pt>
                <c:pt idx="48">
                  <c:v>111.58474147543861</c:v>
                </c:pt>
                <c:pt idx="49">
                  <c:v>118.29624666691501</c:v>
                </c:pt>
                <c:pt idx="50">
                  <c:v>125.18939574647133</c:v>
                </c:pt>
                <c:pt idx="51">
                  <c:v>132.26418871410758</c:v>
                </c:pt>
                <c:pt idx="52">
                  <c:v>139.52062556982369</c:v>
                </c:pt>
                <c:pt idx="53">
                  <c:v>146.95870631361976</c:v>
                </c:pt>
                <c:pt idx="54">
                  <c:v>154.57843094549571</c:v>
                </c:pt>
                <c:pt idx="55">
                  <c:v>162.37979946545155</c:v>
                </c:pt>
                <c:pt idx="56">
                  <c:v>170.36281187348726</c:v>
                </c:pt>
                <c:pt idx="57">
                  <c:v>178.52746816960294</c:v>
                </c:pt>
                <c:pt idx="58">
                  <c:v>186.87376835379851</c:v>
                </c:pt>
                <c:pt idx="59">
                  <c:v>195.401712426074</c:v>
                </c:pt>
                <c:pt idx="60">
                  <c:v>204.11130038642943</c:v>
                </c:pt>
                <c:pt idx="61">
                  <c:v>213.00253223486476</c:v>
                </c:pt>
                <c:pt idx="62">
                  <c:v>222.07540797137997</c:v>
                </c:pt>
                <c:pt idx="63">
                  <c:v>231.32992759597508</c:v>
                </c:pt>
                <c:pt idx="64">
                  <c:v>240.7660911086501</c:v>
                </c:pt>
                <c:pt idx="65">
                  <c:v>250.38389850940496</c:v>
                </c:pt>
                <c:pt idx="66">
                  <c:v>260.18334979823987</c:v>
                </c:pt>
                <c:pt idx="67">
                  <c:v>270.16444497515454</c:v>
                </c:pt>
                <c:pt idx="68">
                  <c:v>280.32718404014929</c:v>
                </c:pt>
                <c:pt idx="69">
                  <c:v>290.67156699322379</c:v>
                </c:pt>
                <c:pt idx="70">
                  <c:v>301.19759383437832</c:v>
                </c:pt>
                <c:pt idx="71">
                  <c:v>311.90526456361266</c:v>
                </c:pt>
                <c:pt idx="72">
                  <c:v>322.79457918092703</c:v>
                </c:pt>
                <c:pt idx="73">
                  <c:v>333.86553768632115</c:v>
                </c:pt>
                <c:pt idx="74">
                  <c:v>345.1181400797953</c:v>
                </c:pt>
                <c:pt idx="75">
                  <c:v>356.55238636134931</c:v>
                </c:pt>
                <c:pt idx="76">
                  <c:v>368.16827653098323</c:v>
                </c:pt>
                <c:pt idx="77">
                  <c:v>379.96581058869702</c:v>
                </c:pt>
                <c:pt idx="78">
                  <c:v>391.94498853449085</c:v>
                </c:pt>
                <c:pt idx="79">
                  <c:v>404.10581036836442</c:v>
                </c:pt>
                <c:pt idx="80">
                  <c:v>416.44827609031802</c:v>
                </c:pt>
                <c:pt idx="81">
                  <c:v>428.97238570035142</c:v>
                </c:pt>
                <c:pt idx="82">
                  <c:v>441.67813919846469</c:v>
                </c:pt>
                <c:pt idx="83">
                  <c:v>454.56553658465805</c:v>
                </c:pt>
                <c:pt idx="84">
                  <c:v>467.63457785893115</c:v>
                </c:pt>
                <c:pt idx="85">
                  <c:v>480.88526302128435</c:v>
                </c:pt>
                <c:pt idx="86">
                  <c:v>494.31759207171723</c:v>
                </c:pt>
                <c:pt idx="87">
                  <c:v>507.93156501023026</c:v>
                </c:pt>
                <c:pt idx="88">
                  <c:v>521.72718183682287</c:v>
                </c:pt>
                <c:pt idx="89">
                  <c:v>535.70444255149573</c:v>
                </c:pt>
                <c:pt idx="90">
                  <c:v>549.86334715424823</c:v>
                </c:pt>
                <c:pt idx="91">
                  <c:v>564.20389564508093</c:v>
                </c:pt>
                <c:pt idx="92">
                  <c:v>578.72608802399316</c:v>
                </c:pt>
                <c:pt idx="93">
                  <c:v>593.4299242909857</c:v>
                </c:pt>
                <c:pt idx="94">
                  <c:v>608.31540444605787</c:v>
                </c:pt>
                <c:pt idx="95">
                  <c:v>623.38252848921013</c:v>
                </c:pt>
                <c:pt idx="96">
                  <c:v>638.63129642044203</c:v>
                </c:pt>
                <c:pt idx="97">
                  <c:v>654.0617082397539</c:v>
                </c:pt>
                <c:pt idx="98">
                  <c:v>669.67376394714597</c:v>
                </c:pt>
                <c:pt idx="99">
                  <c:v>685.46746354261779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-182.83123144345009</c:v>
                </c:pt>
                <c:pt idx="1">
                  <c:v>-174.54856326047766</c:v>
                </c:pt>
                <c:pt idx="2">
                  <c:v>-166.26589507750526</c:v>
                </c:pt>
                <c:pt idx="3">
                  <c:v>-157.98322689453286</c:v>
                </c:pt>
                <c:pt idx="4">
                  <c:v>-149.70055871156043</c:v>
                </c:pt>
                <c:pt idx="5">
                  <c:v>-141.41789052858803</c:v>
                </c:pt>
                <c:pt idx="6">
                  <c:v>-133.13522234561566</c:v>
                </c:pt>
                <c:pt idx="7">
                  <c:v>-124.85255416264324</c:v>
                </c:pt>
                <c:pt idx="8">
                  <c:v>-116.56988597967083</c:v>
                </c:pt>
                <c:pt idx="9">
                  <c:v>-108.28721779669841</c:v>
                </c:pt>
                <c:pt idx="10">
                  <c:v>-100.004549613726</c:v>
                </c:pt>
                <c:pt idx="11">
                  <c:v>-91.721881430753612</c:v>
                </c:pt>
                <c:pt idx="12">
                  <c:v>-83.439213247781197</c:v>
                </c:pt>
                <c:pt idx="13">
                  <c:v>-75.156545064808782</c:v>
                </c:pt>
                <c:pt idx="14">
                  <c:v>-66.873876881836395</c:v>
                </c:pt>
                <c:pt idx="15">
                  <c:v>-58.59120869886398</c:v>
                </c:pt>
                <c:pt idx="16">
                  <c:v>-50.308540515891565</c:v>
                </c:pt>
                <c:pt idx="17">
                  <c:v>-42.025872332919157</c:v>
                </c:pt>
                <c:pt idx="18">
                  <c:v>-33.743204149946742</c:v>
                </c:pt>
                <c:pt idx="19">
                  <c:v>-25.460535966974334</c:v>
                </c:pt>
                <c:pt idx="20">
                  <c:v>-17.177867784001922</c:v>
                </c:pt>
                <c:pt idx="21">
                  <c:v>-8.8951996010295407</c:v>
                </c:pt>
                <c:pt idx="22">
                  <c:v>-0.61253141805712952</c:v>
                </c:pt>
                <c:pt idx="23">
                  <c:v>7.6701367649152816</c:v>
                </c:pt>
                <c:pt idx="24">
                  <c:v>15.952804947887692</c:v>
                </c:pt>
                <c:pt idx="25">
                  <c:v>24.235473130860104</c:v>
                </c:pt>
                <c:pt idx="26">
                  <c:v>32.518141313832515</c:v>
                </c:pt>
                <c:pt idx="27">
                  <c:v>40.800809496804924</c:v>
                </c:pt>
                <c:pt idx="28">
                  <c:v>49.08347767977731</c:v>
                </c:pt>
                <c:pt idx="29">
                  <c:v>57.366145862749718</c:v>
                </c:pt>
                <c:pt idx="30">
                  <c:v>65.648814045722133</c:v>
                </c:pt>
                <c:pt idx="31">
                  <c:v>73.931482228694549</c:v>
                </c:pt>
                <c:pt idx="32">
                  <c:v>82.214150411666949</c:v>
                </c:pt>
                <c:pt idx="33">
                  <c:v>90.496818594639365</c:v>
                </c:pt>
                <c:pt idx="34">
                  <c:v>98.77948677761178</c:v>
                </c:pt>
                <c:pt idx="35">
                  <c:v>107.06215496058418</c:v>
                </c:pt>
                <c:pt idx="36">
                  <c:v>115.3448231435566</c:v>
                </c:pt>
                <c:pt idx="37">
                  <c:v>123.62749132652901</c:v>
                </c:pt>
                <c:pt idx="38">
                  <c:v>131.91015950950143</c:v>
                </c:pt>
                <c:pt idx="39">
                  <c:v>140.19282769247383</c:v>
                </c:pt>
                <c:pt idx="40">
                  <c:v>148.47549587544626</c:v>
                </c:pt>
                <c:pt idx="41">
                  <c:v>156.7581640584186</c:v>
                </c:pt>
                <c:pt idx="42">
                  <c:v>165.040832241391</c:v>
                </c:pt>
                <c:pt idx="43">
                  <c:v>173.32350042436343</c:v>
                </c:pt>
                <c:pt idx="44">
                  <c:v>181.60616860733583</c:v>
                </c:pt>
                <c:pt idx="45">
                  <c:v>189.88883679030823</c:v>
                </c:pt>
                <c:pt idx="46">
                  <c:v>198.17150497328066</c:v>
                </c:pt>
                <c:pt idx="47">
                  <c:v>206.45417315625306</c:v>
                </c:pt>
                <c:pt idx="48">
                  <c:v>214.73684133922546</c:v>
                </c:pt>
                <c:pt idx="49">
                  <c:v>223.01950952219789</c:v>
                </c:pt>
                <c:pt idx="50">
                  <c:v>231.30217770517029</c:v>
                </c:pt>
                <c:pt idx="51">
                  <c:v>239.5848458881427</c:v>
                </c:pt>
                <c:pt idx="52">
                  <c:v>247.86751407111512</c:v>
                </c:pt>
                <c:pt idx="53">
                  <c:v>256.15018225408755</c:v>
                </c:pt>
                <c:pt idx="54">
                  <c:v>264.43285043705993</c:v>
                </c:pt>
                <c:pt idx="55">
                  <c:v>272.71551862003236</c:v>
                </c:pt>
                <c:pt idx="56">
                  <c:v>280.99818680300473</c:v>
                </c:pt>
                <c:pt idx="57">
                  <c:v>289.2808549859771</c:v>
                </c:pt>
                <c:pt idx="58">
                  <c:v>297.56352316894953</c:v>
                </c:pt>
                <c:pt idx="59">
                  <c:v>305.84619135192196</c:v>
                </c:pt>
                <c:pt idx="60">
                  <c:v>314.12885953489433</c:v>
                </c:pt>
                <c:pt idx="61">
                  <c:v>322.41152771786676</c:v>
                </c:pt>
                <c:pt idx="62">
                  <c:v>330.69419590083919</c:v>
                </c:pt>
                <c:pt idx="63">
                  <c:v>338.97686408381156</c:v>
                </c:pt>
                <c:pt idx="64">
                  <c:v>347.25953226678399</c:v>
                </c:pt>
                <c:pt idx="65">
                  <c:v>355.54220044975636</c:v>
                </c:pt>
                <c:pt idx="66">
                  <c:v>363.82486863272879</c:v>
                </c:pt>
                <c:pt idx="67">
                  <c:v>372.10753681570117</c:v>
                </c:pt>
                <c:pt idx="68">
                  <c:v>380.39020499867365</c:v>
                </c:pt>
                <c:pt idx="69">
                  <c:v>388.67287318164597</c:v>
                </c:pt>
                <c:pt idx="70">
                  <c:v>396.95554136461845</c:v>
                </c:pt>
                <c:pt idx="71">
                  <c:v>405.23820954759083</c:v>
                </c:pt>
                <c:pt idx="72">
                  <c:v>413.52087773056326</c:v>
                </c:pt>
                <c:pt idx="73">
                  <c:v>421.80354591353563</c:v>
                </c:pt>
                <c:pt idx="74">
                  <c:v>430.08621409650812</c:v>
                </c:pt>
                <c:pt idx="75">
                  <c:v>438.36888227948043</c:v>
                </c:pt>
                <c:pt idx="76">
                  <c:v>446.65155046245292</c:v>
                </c:pt>
                <c:pt idx="77">
                  <c:v>454.93421864542529</c:v>
                </c:pt>
                <c:pt idx="78">
                  <c:v>463.21688682839778</c:v>
                </c:pt>
                <c:pt idx="79">
                  <c:v>471.49955501137009</c:v>
                </c:pt>
                <c:pt idx="80">
                  <c:v>479.78222319434258</c:v>
                </c:pt>
                <c:pt idx="81">
                  <c:v>488.06489137731495</c:v>
                </c:pt>
                <c:pt idx="82">
                  <c:v>496.34755956028727</c:v>
                </c:pt>
                <c:pt idx="83">
                  <c:v>504.63022774325975</c:v>
                </c:pt>
                <c:pt idx="84">
                  <c:v>512.91289592623207</c:v>
                </c:pt>
                <c:pt idx="85">
                  <c:v>521.19556410920461</c:v>
                </c:pt>
                <c:pt idx="86">
                  <c:v>529.47823229217693</c:v>
                </c:pt>
                <c:pt idx="87">
                  <c:v>537.76090047514936</c:v>
                </c:pt>
                <c:pt idx="88">
                  <c:v>546.04356865812179</c:v>
                </c:pt>
                <c:pt idx="89">
                  <c:v>554.32623684109421</c:v>
                </c:pt>
                <c:pt idx="90">
                  <c:v>562.60890502406653</c:v>
                </c:pt>
                <c:pt idx="91">
                  <c:v>570.89157320703907</c:v>
                </c:pt>
                <c:pt idx="92">
                  <c:v>579.17424139001139</c:v>
                </c:pt>
                <c:pt idx="93">
                  <c:v>587.45690957298382</c:v>
                </c:pt>
                <c:pt idx="94">
                  <c:v>595.73957775595625</c:v>
                </c:pt>
                <c:pt idx="95">
                  <c:v>604.02224593892868</c:v>
                </c:pt>
                <c:pt idx="96">
                  <c:v>612.30491412190099</c:v>
                </c:pt>
                <c:pt idx="97">
                  <c:v>620.58758230487342</c:v>
                </c:pt>
                <c:pt idx="98">
                  <c:v>628.87025048784585</c:v>
                </c:pt>
                <c:pt idx="99">
                  <c:v>637.15291867081828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809.28905469054132</c:v>
                </c:pt>
                <c:pt idx="1">
                  <c:v>809.28905469054132</c:v>
                </c:pt>
                <c:pt idx="2">
                  <c:v>809.28819353061044</c:v>
                </c:pt>
                <c:pt idx="3">
                  <c:v>809.28542189362986</c:v>
                </c:pt>
                <c:pt idx="4">
                  <c:v>809.28073727803121</c:v>
                </c:pt>
                <c:pt idx="5">
                  <c:v>809.27413968381438</c:v>
                </c:pt>
                <c:pt idx="6">
                  <c:v>809.26562911097949</c:v>
                </c:pt>
                <c:pt idx="7">
                  <c:v>809.25520555952653</c:v>
                </c:pt>
                <c:pt idx="8">
                  <c:v>809.24286902945562</c:v>
                </c:pt>
                <c:pt idx="9">
                  <c:v>809.22861952076642</c:v>
                </c:pt>
                <c:pt idx="10">
                  <c:v>809.21245703345926</c:v>
                </c:pt>
                <c:pt idx="11">
                  <c:v>809.19438156753381</c:v>
                </c:pt>
                <c:pt idx="12">
                  <c:v>809.17439312299041</c:v>
                </c:pt>
                <c:pt idx="13">
                  <c:v>809.15249169982883</c:v>
                </c:pt>
                <c:pt idx="14">
                  <c:v>809.12867729804918</c:v>
                </c:pt>
                <c:pt idx="15">
                  <c:v>809.10294991765147</c:v>
                </c:pt>
                <c:pt idx="16">
                  <c:v>809.07530955863569</c:v>
                </c:pt>
                <c:pt idx="17">
                  <c:v>809.04575622100174</c:v>
                </c:pt>
                <c:pt idx="18">
                  <c:v>809.01428990474972</c:v>
                </c:pt>
                <c:pt idx="19">
                  <c:v>808.99722023616812</c:v>
                </c:pt>
                <c:pt idx="20">
                  <c:v>809.07079497970642</c:v>
                </c:pt>
                <c:pt idx="21">
                  <c:v>809.24469370803217</c:v>
                </c:pt>
                <c:pt idx="22">
                  <c:v>809.51891642114515</c:v>
                </c:pt>
                <c:pt idx="23">
                  <c:v>809.8934631190458</c:v>
                </c:pt>
                <c:pt idx="24">
                  <c:v>810.36833380173391</c:v>
                </c:pt>
                <c:pt idx="25">
                  <c:v>810.94352846920947</c:v>
                </c:pt>
                <c:pt idx="26">
                  <c:v>811.61904712147236</c:v>
                </c:pt>
                <c:pt idx="27">
                  <c:v>812.39488975852271</c:v>
                </c:pt>
                <c:pt idx="28">
                  <c:v>813.27105638036062</c:v>
                </c:pt>
                <c:pt idx="29">
                  <c:v>814.24754698698598</c:v>
                </c:pt>
                <c:pt idx="30">
                  <c:v>815.32436157839868</c:v>
                </c:pt>
                <c:pt idx="31">
                  <c:v>816.50150015459894</c:v>
                </c:pt>
                <c:pt idx="32">
                  <c:v>817.77896271558666</c:v>
                </c:pt>
                <c:pt idx="33">
                  <c:v>819.15674926136182</c:v>
                </c:pt>
                <c:pt idx="34">
                  <c:v>820.63485979192433</c:v>
                </c:pt>
                <c:pt idx="35">
                  <c:v>822.2132943072744</c:v>
                </c:pt>
                <c:pt idx="36">
                  <c:v>823.89205280741191</c:v>
                </c:pt>
                <c:pt idx="37">
                  <c:v>825.67113529233677</c:v>
                </c:pt>
                <c:pt idx="38">
                  <c:v>827.55054176204931</c:v>
                </c:pt>
                <c:pt idx="39">
                  <c:v>829.53027221654918</c:v>
                </c:pt>
                <c:pt idx="40">
                  <c:v>831.61032665583639</c:v>
                </c:pt>
                <c:pt idx="41">
                  <c:v>833.79070507991116</c:v>
                </c:pt>
                <c:pt idx="42">
                  <c:v>836.0714074887735</c:v>
                </c:pt>
                <c:pt idx="43">
                  <c:v>838.45243388242307</c:v>
                </c:pt>
                <c:pt idx="44">
                  <c:v>840.93378426086019</c:v>
                </c:pt>
                <c:pt idx="45">
                  <c:v>843.51545862408489</c:v>
                </c:pt>
                <c:pt idx="46">
                  <c:v>846.1974569720968</c:v>
                </c:pt>
                <c:pt idx="47">
                  <c:v>848.9797793048964</c:v>
                </c:pt>
                <c:pt idx="48">
                  <c:v>851.86242562248322</c:v>
                </c:pt>
                <c:pt idx="49">
                  <c:v>854.84539592485771</c:v>
                </c:pt>
                <c:pt idx="50">
                  <c:v>857.92869021201943</c:v>
                </c:pt>
                <c:pt idx="51">
                  <c:v>861.11230848396883</c:v>
                </c:pt>
                <c:pt idx="52">
                  <c:v>864.39625074070557</c:v>
                </c:pt>
                <c:pt idx="53">
                  <c:v>867.78051698222976</c:v>
                </c:pt>
                <c:pt idx="54">
                  <c:v>871.26510720854151</c:v>
                </c:pt>
                <c:pt idx="55">
                  <c:v>874.8500214196406</c:v>
                </c:pt>
                <c:pt idx="56">
                  <c:v>878.53525961552714</c:v>
                </c:pt>
                <c:pt idx="57">
                  <c:v>882.32082179620113</c:v>
                </c:pt>
                <c:pt idx="58">
                  <c:v>886.20670796166269</c:v>
                </c:pt>
                <c:pt idx="59">
                  <c:v>890.19291811191158</c:v>
                </c:pt>
                <c:pt idx="60">
                  <c:v>894.27945224694793</c:v>
                </c:pt>
                <c:pt idx="61">
                  <c:v>898.46631036677172</c:v>
                </c:pt>
                <c:pt idx="62">
                  <c:v>902.75349247138308</c:v>
                </c:pt>
                <c:pt idx="63">
                  <c:v>907.14099856078178</c:v>
                </c:pt>
                <c:pt idx="64">
                  <c:v>911.62882863496804</c:v>
                </c:pt>
                <c:pt idx="65">
                  <c:v>916.21698269394165</c:v>
                </c:pt>
                <c:pt idx="66">
                  <c:v>920.90546073770292</c:v>
                </c:pt>
                <c:pt idx="67">
                  <c:v>925.69426276625131</c:v>
                </c:pt>
                <c:pt idx="68">
                  <c:v>930.58338877958749</c:v>
                </c:pt>
                <c:pt idx="69">
                  <c:v>935.5728387777109</c:v>
                </c:pt>
                <c:pt idx="70">
                  <c:v>940.66261276062187</c:v>
                </c:pt>
                <c:pt idx="71">
                  <c:v>945.85271072832018</c:v>
                </c:pt>
                <c:pt idx="72">
                  <c:v>951.14313268080605</c:v>
                </c:pt>
                <c:pt idx="73">
                  <c:v>956.53387861807926</c:v>
                </c:pt>
                <c:pt idx="74">
                  <c:v>962.02494854014003</c:v>
                </c:pt>
                <c:pt idx="75">
                  <c:v>967.61634244698826</c:v>
                </c:pt>
                <c:pt idx="76">
                  <c:v>973.30806033862393</c:v>
                </c:pt>
                <c:pt idx="77">
                  <c:v>979.10010221504695</c:v>
                </c:pt>
                <c:pt idx="78">
                  <c:v>984.99246807625764</c:v>
                </c:pt>
                <c:pt idx="79">
                  <c:v>990.98515792225555</c:v>
                </c:pt>
                <c:pt idx="80">
                  <c:v>997.07817175304115</c:v>
                </c:pt>
                <c:pt idx="81">
                  <c:v>1003.271509568614</c:v>
                </c:pt>
                <c:pt idx="82">
                  <c:v>1009.5651713689742</c:v>
                </c:pt>
                <c:pt idx="83">
                  <c:v>1015.9591571541222</c:v>
                </c:pt>
                <c:pt idx="84">
                  <c:v>1022.4534669240575</c:v>
                </c:pt>
                <c:pt idx="85">
                  <c:v>1029.0481006787802</c:v>
                </c:pt>
                <c:pt idx="86">
                  <c:v>1035.7430584182903</c:v>
                </c:pt>
                <c:pt idx="87">
                  <c:v>1042.5383401425879</c:v>
                </c:pt>
                <c:pt idx="88">
                  <c:v>1049.4339458516731</c:v>
                </c:pt>
                <c:pt idx="89">
                  <c:v>1056.4298755455457</c:v>
                </c:pt>
                <c:pt idx="90">
                  <c:v>1063.5261292242055</c:v>
                </c:pt>
                <c:pt idx="91">
                  <c:v>1070.7227068876532</c:v>
                </c:pt>
                <c:pt idx="92">
                  <c:v>1078.0196085358882</c:v>
                </c:pt>
                <c:pt idx="93">
                  <c:v>1085.4168341689106</c:v>
                </c:pt>
                <c:pt idx="94">
                  <c:v>1092.9143837867202</c:v>
                </c:pt>
                <c:pt idx="95">
                  <c:v>1100.5122573893175</c:v>
                </c:pt>
                <c:pt idx="96">
                  <c:v>1108.2104549767021</c:v>
                </c:pt>
                <c:pt idx="97">
                  <c:v>1116.0089765488742</c:v>
                </c:pt>
                <c:pt idx="98">
                  <c:v>1123.9078221058339</c:v>
                </c:pt>
                <c:pt idx="99">
                  <c:v>1131.9069916475812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-167.68503684484588</c:v>
                </c:pt>
                <c:pt idx="1">
                  <c:v>-159.53531524684112</c:v>
                </c:pt>
                <c:pt idx="2">
                  <c:v>-151.38559364883633</c:v>
                </c:pt>
                <c:pt idx="3">
                  <c:v>-143.23587205083157</c:v>
                </c:pt>
                <c:pt idx="4">
                  <c:v>-135.08615045282679</c:v>
                </c:pt>
                <c:pt idx="5">
                  <c:v>-126.93642885482201</c:v>
                </c:pt>
                <c:pt idx="6">
                  <c:v>-118.78670725681722</c:v>
                </c:pt>
                <c:pt idx="7">
                  <c:v>-110.63698565881245</c:v>
                </c:pt>
                <c:pt idx="8">
                  <c:v>-102.48726406080768</c:v>
                </c:pt>
                <c:pt idx="9">
                  <c:v>-94.337542462802901</c:v>
                </c:pt>
                <c:pt idx="10">
                  <c:v>-86.187820864798127</c:v>
                </c:pt>
                <c:pt idx="11">
                  <c:v>-78.038099266793353</c:v>
                </c:pt>
                <c:pt idx="12">
                  <c:v>-69.888377668788564</c:v>
                </c:pt>
                <c:pt idx="13">
                  <c:v>-61.73865607078379</c:v>
                </c:pt>
                <c:pt idx="14">
                  <c:v>-53.588934472779016</c:v>
                </c:pt>
                <c:pt idx="15">
                  <c:v>-45.439212874774242</c:v>
                </c:pt>
                <c:pt idx="16">
                  <c:v>-37.289491276769461</c:v>
                </c:pt>
                <c:pt idx="17">
                  <c:v>-29.139769678764686</c:v>
                </c:pt>
                <c:pt idx="18">
                  <c:v>-20.990048080759909</c:v>
                </c:pt>
                <c:pt idx="19">
                  <c:v>-12.840326482755133</c:v>
                </c:pt>
                <c:pt idx="20">
                  <c:v>-4.6906048847503552</c:v>
                </c:pt>
                <c:pt idx="21">
                  <c:v>3.4591167132544216</c:v>
                </c:pt>
                <c:pt idx="22">
                  <c:v>11.608838311259198</c:v>
                </c:pt>
                <c:pt idx="23">
                  <c:v>19.758559909263976</c:v>
                </c:pt>
                <c:pt idx="24">
                  <c:v>27.90828150726875</c:v>
                </c:pt>
                <c:pt idx="25">
                  <c:v>36.058003105273528</c:v>
                </c:pt>
                <c:pt idx="26">
                  <c:v>44.207724703278302</c:v>
                </c:pt>
                <c:pt idx="27">
                  <c:v>52.357446301283083</c:v>
                </c:pt>
                <c:pt idx="28">
                  <c:v>60.507167899287857</c:v>
                </c:pt>
                <c:pt idx="29">
                  <c:v>68.656889497292639</c:v>
                </c:pt>
                <c:pt idx="30">
                  <c:v>76.806611095297413</c:v>
                </c:pt>
                <c:pt idx="31">
                  <c:v>84.956332693302187</c:v>
                </c:pt>
                <c:pt idx="32">
                  <c:v>93.106054291306961</c:v>
                </c:pt>
                <c:pt idx="33">
                  <c:v>101.25577588931178</c:v>
                </c:pt>
                <c:pt idx="34">
                  <c:v>109.40549748731652</c:v>
                </c:pt>
                <c:pt idx="35">
                  <c:v>117.55521908532127</c:v>
                </c:pt>
                <c:pt idx="36">
                  <c:v>125.70494068332607</c:v>
                </c:pt>
                <c:pt idx="37">
                  <c:v>133.85466228133089</c:v>
                </c:pt>
                <c:pt idx="38">
                  <c:v>142.00438387933562</c:v>
                </c:pt>
                <c:pt idx="39">
                  <c:v>150.15410547734038</c:v>
                </c:pt>
                <c:pt idx="40">
                  <c:v>158.30382707534517</c:v>
                </c:pt>
                <c:pt idx="41">
                  <c:v>166.45354867334999</c:v>
                </c:pt>
                <c:pt idx="42">
                  <c:v>174.60327027135475</c:v>
                </c:pt>
                <c:pt idx="43">
                  <c:v>182.75299186935948</c:v>
                </c:pt>
                <c:pt idx="44">
                  <c:v>190.90271346736429</c:v>
                </c:pt>
                <c:pt idx="45">
                  <c:v>199.05243506536908</c:v>
                </c:pt>
                <c:pt idx="46">
                  <c:v>207.20215666337384</c:v>
                </c:pt>
                <c:pt idx="47">
                  <c:v>215.3518782613786</c:v>
                </c:pt>
                <c:pt idx="48">
                  <c:v>223.50159985938339</c:v>
                </c:pt>
                <c:pt idx="49">
                  <c:v>231.65132145738821</c:v>
                </c:pt>
                <c:pt idx="50">
                  <c:v>239.80104305539294</c:v>
                </c:pt>
                <c:pt idx="51">
                  <c:v>247.9507646533977</c:v>
                </c:pt>
                <c:pt idx="52">
                  <c:v>256.10048625140251</c:v>
                </c:pt>
                <c:pt idx="53">
                  <c:v>264.25020784940733</c:v>
                </c:pt>
                <c:pt idx="54">
                  <c:v>272.39992944741203</c:v>
                </c:pt>
                <c:pt idx="55">
                  <c:v>280.54965104541685</c:v>
                </c:pt>
                <c:pt idx="56">
                  <c:v>288.69937264342161</c:v>
                </c:pt>
                <c:pt idx="57">
                  <c:v>296.84909424142643</c:v>
                </c:pt>
                <c:pt idx="58">
                  <c:v>304.99881583943113</c:v>
                </c:pt>
                <c:pt idx="59">
                  <c:v>313.14853743743595</c:v>
                </c:pt>
                <c:pt idx="60">
                  <c:v>321.29825903544076</c:v>
                </c:pt>
                <c:pt idx="61">
                  <c:v>329.44798063344552</c:v>
                </c:pt>
                <c:pt idx="62">
                  <c:v>337.59770223145023</c:v>
                </c:pt>
                <c:pt idx="63">
                  <c:v>345.74742382945504</c:v>
                </c:pt>
                <c:pt idx="64">
                  <c:v>353.89714542745986</c:v>
                </c:pt>
                <c:pt idx="65">
                  <c:v>362.04686702546468</c:v>
                </c:pt>
                <c:pt idx="66">
                  <c:v>370.19658862346944</c:v>
                </c:pt>
                <c:pt idx="67">
                  <c:v>378.34631022147414</c:v>
                </c:pt>
                <c:pt idx="68">
                  <c:v>386.49603181947896</c:v>
                </c:pt>
                <c:pt idx="69">
                  <c:v>394.64575341748377</c:v>
                </c:pt>
                <c:pt idx="70">
                  <c:v>402.79547501548848</c:v>
                </c:pt>
                <c:pt idx="71">
                  <c:v>410.94519661349324</c:v>
                </c:pt>
                <c:pt idx="72">
                  <c:v>419.09491821149805</c:v>
                </c:pt>
                <c:pt idx="73">
                  <c:v>427.24463980950287</c:v>
                </c:pt>
                <c:pt idx="74">
                  <c:v>435.39436140750769</c:v>
                </c:pt>
                <c:pt idx="75">
                  <c:v>443.54408300551239</c:v>
                </c:pt>
                <c:pt idx="76">
                  <c:v>451.69380460351715</c:v>
                </c:pt>
                <c:pt idx="77">
                  <c:v>459.84352620152197</c:v>
                </c:pt>
                <c:pt idx="78">
                  <c:v>467.99324779952667</c:v>
                </c:pt>
                <c:pt idx="79">
                  <c:v>476.14296939753149</c:v>
                </c:pt>
                <c:pt idx="80">
                  <c:v>484.2926909955363</c:v>
                </c:pt>
                <c:pt idx="81">
                  <c:v>492.44241259354106</c:v>
                </c:pt>
                <c:pt idx="82">
                  <c:v>500.59213419154588</c:v>
                </c:pt>
                <c:pt idx="83">
                  <c:v>508.74185578955058</c:v>
                </c:pt>
                <c:pt idx="84">
                  <c:v>516.89157738755534</c:v>
                </c:pt>
                <c:pt idx="85">
                  <c:v>525.04129898556016</c:v>
                </c:pt>
                <c:pt idx="86">
                  <c:v>533.19102058356486</c:v>
                </c:pt>
                <c:pt idx="87">
                  <c:v>541.34074218156968</c:v>
                </c:pt>
                <c:pt idx="88">
                  <c:v>549.4904637795745</c:v>
                </c:pt>
                <c:pt idx="89">
                  <c:v>557.64018537757931</c:v>
                </c:pt>
                <c:pt idx="90">
                  <c:v>565.78990697558413</c:v>
                </c:pt>
                <c:pt idx="91">
                  <c:v>573.93962857358883</c:v>
                </c:pt>
                <c:pt idx="92">
                  <c:v>582.08935017159365</c:v>
                </c:pt>
                <c:pt idx="93">
                  <c:v>590.23907176959835</c:v>
                </c:pt>
                <c:pt idx="94">
                  <c:v>598.38879336760306</c:v>
                </c:pt>
                <c:pt idx="95">
                  <c:v>606.53851496560787</c:v>
                </c:pt>
                <c:pt idx="96">
                  <c:v>614.68823656361269</c:v>
                </c:pt>
                <c:pt idx="97">
                  <c:v>622.83795816161751</c:v>
                </c:pt>
                <c:pt idx="98">
                  <c:v>630.98767975962232</c:v>
                </c:pt>
                <c:pt idx="99">
                  <c:v>639.13740135762703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-14.393915428857703</c:v>
                </c:pt>
                <c:pt idx="1">
                  <c:v>-14.393900040946384</c:v>
                </c:pt>
                <c:pt idx="2">
                  <c:v>-14.354709297494292</c:v>
                </c:pt>
                <c:pt idx="3">
                  <c:v>-14.240182412266218</c:v>
                </c:pt>
                <c:pt idx="4">
                  <c:v>-14.050319385262165</c:v>
                </c:pt>
                <c:pt idx="5">
                  <c:v>-13.785120216482129</c:v>
                </c:pt>
                <c:pt idx="6">
                  <c:v>-13.444584905926114</c:v>
                </c:pt>
                <c:pt idx="7">
                  <c:v>-13.028713453594117</c:v>
                </c:pt>
                <c:pt idx="8">
                  <c:v>-12.537505859486142</c:v>
                </c:pt>
                <c:pt idx="9">
                  <c:v>-11.970962123602183</c:v>
                </c:pt>
                <c:pt idx="10">
                  <c:v>-11.329082245942244</c:v>
                </c:pt>
                <c:pt idx="11">
                  <c:v>-10.611866226506324</c:v>
                </c:pt>
                <c:pt idx="12">
                  <c:v>-9.8193140652944244</c:v>
                </c:pt>
                <c:pt idx="13">
                  <c:v>-8.9514257623065419</c:v>
                </c:pt>
                <c:pt idx="14">
                  <c:v>-8.0082013175426798</c:v>
                </c:pt>
                <c:pt idx="15">
                  <c:v>-6.9896407310028366</c:v>
                </c:pt>
                <c:pt idx="16">
                  <c:v>-5.8957440026870138</c:v>
                </c:pt>
                <c:pt idx="17">
                  <c:v>-4.725751622351785</c:v>
                </c:pt>
                <c:pt idx="18">
                  <c:v>-3.4182706153598295</c:v>
                </c:pt>
                <c:pt idx="19">
                  <c:v>-1.9344077357826683</c:v>
                </c:pt>
                <c:pt idx="20">
                  <c:v>-0.274162983620302</c:v>
                </c:pt>
                <c:pt idx="21">
                  <c:v>1.5624636411272703</c:v>
                </c:pt>
                <c:pt idx="22">
                  <c:v>3.5754721384600483</c:v>
                </c:pt>
                <c:pt idx="23">
                  <c:v>5.7648625083780312</c:v>
                </c:pt>
                <c:pt idx="24">
                  <c:v>8.1306347508812209</c:v>
                </c:pt>
                <c:pt idx="25">
                  <c:v>10.672788865969617</c:v>
                </c:pt>
                <c:pt idx="26">
                  <c:v>13.391324853643216</c:v>
                </c:pt>
                <c:pt idx="27">
                  <c:v>16.286242713902023</c:v>
                </c:pt>
                <c:pt idx="28">
                  <c:v>19.357542446746034</c:v>
                </c:pt>
                <c:pt idx="29">
                  <c:v>22.605224052175252</c:v>
                </c:pt>
                <c:pt idx="30">
                  <c:v>26.029287530189677</c:v>
                </c:pt>
                <c:pt idx="31">
                  <c:v>29.629732880789302</c:v>
                </c:pt>
                <c:pt idx="32">
                  <c:v>33.406560103974137</c:v>
                </c:pt>
                <c:pt idx="33">
                  <c:v>37.3597691997442</c:v>
                </c:pt>
                <c:pt idx="34">
                  <c:v>41.489360168099424</c:v>
                </c:pt>
                <c:pt idx="35">
                  <c:v>45.795333009039865</c:v>
                </c:pt>
                <c:pt idx="36">
                  <c:v>50.277687722565531</c:v>
                </c:pt>
                <c:pt idx="37">
                  <c:v>54.936424308676422</c:v>
                </c:pt>
                <c:pt idx="38">
                  <c:v>59.771542767372473</c:v>
                </c:pt>
                <c:pt idx="39">
                  <c:v>64.783043098653735</c:v>
                </c:pt>
                <c:pt idx="40">
                  <c:v>69.970925302520229</c:v>
                </c:pt>
                <c:pt idx="41">
                  <c:v>75.335189378971933</c:v>
                </c:pt>
                <c:pt idx="42">
                  <c:v>80.875835328008804</c:v>
                </c:pt>
                <c:pt idx="43">
                  <c:v>86.592863149630887</c:v>
                </c:pt>
                <c:pt idx="44">
                  <c:v>92.486272843838208</c:v>
                </c:pt>
                <c:pt idx="45">
                  <c:v>98.556064410630725</c:v>
                </c:pt>
                <c:pt idx="46">
                  <c:v>104.80223785000842</c:v>
                </c:pt>
                <c:pt idx="47">
                  <c:v>111.22479316197132</c:v>
                </c:pt>
                <c:pt idx="48">
                  <c:v>117.82373034651948</c:v>
                </c:pt>
                <c:pt idx="49">
                  <c:v>124.59904940365284</c:v>
                </c:pt>
                <c:pt idx="50">
                  <c:v>131.55075033337133</c:v>
                </c:pt>
                <c:pt idx="51">
                  <c:v>138.67883313567506</c:v>
                </c:pt>
                <c:pt idx="52">
                  <c:v>145.98329781056404</c:v>
                </c:pt>
                <c:pt idx="53">
                  <c:v>153.46414435803825</c:v>
                </c:pt>
                <c:pt idx="54">
                  <c:v>161.12137277809751</c:v>
                </c:pt>
                <c:pt idx="55">
                  <c:v>168.95498307074212</c:v>
                </c:pt>
                <c:pt idx="56">
                  <c:v>176.96497523597193</c:v>
                </c:pt>
                <c:pt idx="57">
                  <c:v>185.15134927378691</c:v>
                </c:pt>
                <c:pt idx="58">
                  <c:v>193.51410518418703</c:v>
                </c:pt>
                <c:pt idx="59">
                  <c:v>202.05324296717242</c:v>
                </c:pt>
                <c:pt idx="60">
                  <c:v>210.76876262274305</c:v>
                </c:pt>
                <c:pt idx="61">
                  <c:v>219.66066415089892</c:v>
                </c:pt>
                <c:pt idx="62">
                  <c:v>228.72894755163981</c:v>
                </c:pt>
                <c:pt idx="63">
                  <c:v>237.97361282496604</c:v>
                </c:pt>
                <c:pt idx="64">
                  <c:v>247.39465997087748</c:v>
                </c:pt>
                <c:pt idx="65">
                  <c:v>256.99208898937422</c:v>
                </c:pt>
                <c:pt idx="66">
                  <c:v>266.76589988045606</c:v>
                </c:pt>
                <c:pt idx="67">
                  <c:v>276.71609264412302</c:v>
                </c:pt>
                <c:pt idx="68">
                  <c:v>286.84266728037528</c:v>
                </c:pt>
                <c:pt idx="69">
                  <c:v>297.14562378921272</c:v>
                </c:pt>
                <c:pt idx="70">
                  <c:v>307.62496217063529</c:v>
                </c:pt>
                <c:pt idx="71">
                  <c:v>318.2806824246432</c:v>
                </c:pt>
                <c:pt idx="72">
                  <c:v>329.1127845512363</c:v>
                </c:pt>
                <c:pt idx="73">
                  <c:v>340.12126855041458</c:v>
                </c:pt>
                <c:pt idx="74">
                  <c:v>351.3061344221781</c:v>
                </c:pt>
                <c:pt idx="75">
                  <c:v>362.66738216652664</c:v>
                </c:pt>
                <c:pt idx="76">
                  <c:v>374.20501178346058</c:v>
                </c:pt>
                <c:pt idx="77">
                  <c:v>385.91902327297976</c:v>
                </c:pt>
                <c:pt idx="78">
                  <c:v>397.80941663508389</c:v>
                </c:pt>
                <c:pt idx="79">
                  <c:v>409.87619186977349</c:v>
                </c:pt>
                <c:pt idx="80">
                  <c:v>422.11934897704822</c:v>
                </c:pt>
                <c:pt idx="81">
                  <c:v>434.53888795690818</c:v>
                </c:pt>
                <c:pt idx="82">
                  <c:v>447.13480880935333</c:v>
                </c:pt>
                <c:pt idx="83">
                  <c:v>459.90711153438355</c:v>
                </c:pt>
                <c:pt idx="84">
                  <c:v>472.85579613199906</c:v>
                </c:pt>
                <c:pt idx="85">
                  <c:v>485.98086260219986</c:v>
                </c:pt>
                <c:pt idx="86">
                  <c:v>499.28231094498568</c:v>
                </c:pt>
                <c:pt idx="87">
                  <c:v>512.76014116035685</c:v>
                </c:pt>
                <c:pt idx="88">
                  <c:v>526.4143532483132</c:v>
                </c:pt>
                <c:pt idx="89">
                  <c:v>540.2449472088548</c:v>
                </c:pt>
                <c:pt idx="90">
                  <c:v>554.25192304198163</c:v>
                </c:pt>
                <c:pt idx="91">
                  <c:v>568.43528074769347</c:v>
                </c:pt>
                <c:pt idx="92">
                  <c:v>582.79502032599066</c:v>
                </c:pt>
                <c:pt idx="93">
                  <c:v>597.3311417768731</c:v>
                </c:pt>
                <c:pt idx="94">
                  <c:v>612.04364510034054</c:v>
                </c:pt>
                <c:pt idx="95">
                  <c:v>626.93253029639334</c:v>
                </c:pt>
                <c:pt idx="96">
                  <c:v>641.99779736503149</c:v>
                </c:pt>
                <c:pt idx="97">
                  <c:v>657.23944630625465</c:v>
                </c:pt>
                <c:pt idx="98">
                  <c:v>672.65747712006305</c:v>
                </c:pt>
                <c:pt idx="99">
                  <c:v>688.25188980645657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-167.68503684484588</c:v>
                </c:pt>
                <c:pt idx="1">
                  <c:v>-159.53531524684112</c:v>
                </c:pt>
                <c:pt idx="2">
                  <c:v>-151.38559364883633</c:v>
                </c:pt>
                <c:pt idx="3">
                  <c:v>-143.23587205083157</c:v>
                </c:pt>
                <c:pt idx="4">
                  <c:v>-135.08615045282679</c:v>
                </c:pt>
                <c:pt idx="5">
                  <c:v>-126.93642885482201</c:v>
                </c:pt>
                <c:pt idx="6">
                  <c:v>-118.78670725681722</c:v>
                </c:pt>
                <c:pt idx="7">
                  <c:v>-110.63698565881245</c:v>
                </c:pt>
                <c:pt idx="8">
                  <c:v>-102.48726406080768</c:v>
                </c:pt>
                <c:pt idx="9">
                  <c:v>-94.337542462802901</c:v>
                </c:pt>
                <c:pt idx="10">
                  <c:v>-86.187820864798127</c:v>
                </c:pt>
                <c:pt idx="11">
                  <c:v>-78.038099266793353</c:v>
                </c:pt>
                <c:pt idx="12">
                  <c:v>-69.888377668788564</c:v>
                </c:pt>
                <c:pt idx="13">
                  <c:v>-61.73865607078379</c:v>
                </c:pt>
                <c:pt idx="14">
                  <c:v>-53.588934472779016</c:v>
                </c:pt>
                <c:pt idx="15">
                  <c:v>-45.439212874774242</c:v>
                </c:pt>
                <c:pt idx="16">
                  <c:v>-37.289491276769461</c:v>
                </c:pt>
                <c:pt idx="17">
                  <c:v>-29.139769678764686</c:v>
                </c:pt>
                <c:pt idx="18">
                  <c:v>-20.990048080759909</c:v>
                </c:pt>
                <c:pt idx="19">
                  <c:v>-12.840326482755133</c:v>
                </c:pt>
                <c:pt idx="20">
                  <c:v>-4.6906048847503552</c:v>
                </c:pt>
                <c:pt idx="21">
                  <c:v>3.4591167132544216</c:v>
                </c:pt>
                <c:pt idx="22">
                  <c:v>11.608838311259198</c:v>
                </c:pt>
                <c:pt idx="23">
                  <c:v>19.758559909263976</c:v>
                </c:pt>
                <c:pt idx="24">
                  <c:v>27.90828150726875</c:v>
                </c:pt>
                <c:pt idx="25">
                  <c:v>36.058003105273528</c:v>
                </c:pt>
                <c:pt idx="26">
                  <c:v>44.207724703278302</c:v>
                </c:pt>
                <c:pt idx="27">
                  <c:v>52.357446301283083</c:v>
                </c:pt>
                <c:pt idx="28">
                  <c:v>60.507167899287857</c:v>
                </c:pt>
                <c:pt idx="29">
                  <c:v>68.656889497292639</c:v>
                </c:pt>
                <c:pt idx="30">
                  <c:v>76.806611095297413</c:v>
                </c:pt>
                <c:pt idx="31">
                  <c:v>84.956332693302187</c:v>
                </c:pt>
                <c:pt idx="32">
                  <c:v>93.106054291306961</c:v>
                </c:pt>
                <c:pt idx="33">
                  <c:v>101.25577588931178</c:v>
                </c:pt>
                <c:pt idx="34">
                  <c:v>109.40549748731652</c:v>
                </c:pt>
                <c:pt idx="35">
                  <c:v>117.55521908532127</c:v>
                </c:pt>
                <c:pt idx="36">
                  <c:v>125.70494068332607</c:v>
                </c:pt>
                <c:pt idx="37">
                  <c:v>133.85466228133089</c:v>
                </c:pt>
                <c:pt idx="38">
                  <c:v>142.00438387933562</c:v>
                </c:pt>
                <c:pt idx="39">
                  <c:v>150.15410547734038</c:v>
                </c:pt>
                <c:pt idx="40">
                  <c:v>158.30382707534517</c:v>
                </c:pt>
                <c:pt idx="41">
                  <c:v>166.45354867334999</c:v>
                </c:pt>
                <c:pt idx="42">
                  <c:v>174.60327027135475</c:v>
                </c:pt>
                <c:pt idx="43">
                  <c:v>182.75299186935948</c:v>
                </c:pt>
                <c:pt idx="44">
                  <c:v>190.90271346736429</c:v>
                </c:pt>
                <c:pt idx="45">
                  <c:v>199.05243506536908</c:v>
                </c:pt>
                <c:pt idx="46">
                  <c:v>207.20215666337384</c:v>
                </c:pt>
                <c:pt idx="47">
                  <c:v>215.3518782613786</c:v>
                </c:pt>
                <c:pt idx="48">
                  <c:v>223.50159985938339</c:v>
                </c:pt>
                <c:pt idx="49">
                  <c:v>231.65132145738821</c:v>
                </c:pt>
                <c:pt idx="50">
                  <c:v>239.80104305539294</c:v>
                </c:pt>
                <c:pt idx="51">
                  <c:v>247.9507646533977</c:v>
                </c:pt>
                <c:pt idx="52">
                  <c:v>256.10048625140251</c:v>
                </c:pt>
                <c:pt idx="53">
                  <c:v>264.25020784940733</c:v>
                </c:pt>
                <c:pt idx="54">
                  <c:v>272.39992944741203</c:v>
                </c:pt>
                <c:pt idx="55">
                  <c:v>280.54965104541685</c:v>
                </c:pt>
                <c:pt idx="56">
                  <c:v>288.69937264342161</c:v>
                </c:pt>
                <c:pt idx="57">
                  <c:v>296.84909424142643</c:v>
                </c:pt>
                <c:pt idx="58">
                  <c:v>304.99881583943113</c:v>
                </c:pt>
                <c:pt idx="59">
                  <c:v>313.14853743743595</c:v>
                </c:pt>
                <c:pt idx="60">
                  <c:v>321.29825903544076</c:v>
                </c:pt>
                <c:pt idx="61">
                  <c:v>329.44798063344552</c:v>
                </c:pt>
                <c:pt idx="62">
                  <c:v>337.59770223145023</c:v>
                </c:pt>
                <c:pt idx="63">
                  <c:v>345.74742382945504</c:v>
                </c:pt>
                <c:pt idx="64">
                  <c:v>353.89714542745986</c:v>
                </c:pt>
                <c:pt idx="65">
                  <c:v>362.04686702546468</c:v>
                </c:pt>
                <c:pt idx="66">
                  <c:v>370.19658862346944</c:v>
                </c:pt>
                <c:pt idx="67">
                  <c:v>378.34631022147414</c:v>
                </c:pt>
                <c:pt idx="68">
                  <c:v>386.49603181947896</c:v>
                </c:pt>
                <c:pt idx="69">
                  <c:v>394.64575341748377</c:v>
                </c:pt>
                <c:pt idx="70">
                  <c:v>402.79547501548848</c:v>
                </c:pt>
                <c:pt idx="71">
                  <c:v>410.94519661349324</c:v>
                </c:pt>
                <c:pt idx="72">
                  <c:v>419.09491821149805</c:v>
                </c:pt>
                <c:pt idx="73">
                  <c:v>427.24463980950287</c:v>
                </c:pt>
                <c:pt idx="74">
                  <c:v>435.39436140750769</c:v>
                </c:pt>
                <c:pt idx="75">
                  <c:v>443.54408300551239</c:v>
                </c:pt>
                <c:pt idx="76">
                  <c:v>451.69380460351715</c:v>
                </c:pt>
                <c:pt idx="77">
                  <c:v>459.84352620152197</c:v>
                </c:pt>
                <c:pt idx="78">
                  <c:v>467.99324779952667</c:v>
                </c:pt>
                <c:pt idx="79">
                  <c:v>476.14296939753149</c:v>
                </c:pt>
                <c:pt idx="80">
                  <c:v>484.2926909955363</c:v>
                </c:pt>
                <c:pt idx="81">
                  <c:v>492.44241259354106</c:v>
                </c:pt>
                <c:pt idx="82">
                  <c:v>500.59213419154588</c:v>
                </c:pt>
                <c:pt idx="83">
                  <c:v>508.74185578955058</c:v>
                </c:pt>
                <c:pt idx="84">
                  <c:v>516.89157738755534</c:v>
                </c:pt>
                <c:pt idx="85">
                  <c:v>525.04129898556016</c:v>
                </c:pt>
                <c:pt idx="86">
                  <c:v>533.19102058356486</c:v>
                </c:pt>
                <c:pt idx="87">
                  <c:v>541.34074218156968</c:v>
                </c:pt>
                <c:pt idx="88">
                  <c:v>549.4904637795745</c:v>
                </c:pt>
                <c:pt idx="89">
                  <c:v>557.64018537757931</c:v>
                </c:pt>
                <c:pt idx="90">
                  <c:v>565.78990697558413</c:v>
                </c:pt>
                <c:pt idx="91">
                  <c:v>573.93962857358883</c:v>
                </c:pt>
                <c:pt idx="92">
                  <c:v>582.08935017159365</c:v>
                </c:pt>
                <c:pt idx="93">
                  <c:v>590.23907176959835</c:v>
                </c:pt>
                <c:pt idx="94">
                  <c:v>598.38879336760306</c:v>
                </c:pt>
                <c:pt idx="95">
                  <c:v>606.53851496560787</c:v>
                </c:pt>
                <c:pt idx="96">
                  <c:v>614.68823656361269</c:v>
                </c:pt>
                <c:pt idx="97">
                  <c:v>622.83795816161751</c:v>
                </c:pt>
                <c:pt idx="98">
                  <c:v>630.98767975962232</c:v>
                </c:pt>
                <c:pt idx="99">
                  <c:v>639.13740135762703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809.52799535644556</c:v>
                </c:pt>
                <c:pt idx="1">
                  <c:v>809.52799450300529</c:v>
                </c:pt>
                <c:pt idx="2">
                  <c:v>809.52582091637373</c:v>
                </c:pt>
                <c:pt idx="3">
                  <c:v>809.51946905660395</c:v>
                </c:pt>
                <c:pt idx="4">
                  <c:v>809.50893892369595</c:v>
                </c:pt>
                <c:pt idx="5">
                  <c:v>809.49423051764973</c:v>
                </c:pt>
                <c:pt idx="6">
                  <c:v>809.47534383846516</c:v>
                </c:pt>
                <c:pt idx="7">
                  <c:v>809.45227888614238</c:v>
                </c:pt>
                <c:pt idx="8">
                  <c:v>809.42503566068149</c:v>
                </c:pt>
                <c:pt idx="9">
                  <c:v>809.39361416208203</c:v>
                </c:pt>
                <c:pt idx="10">
                  <c:v>809.35801439034458</c:v>
                </c:pt>
                <c:pt idx="11">
                  <c:v>809.31823634546879</c:v>
                </c:pt>
                <c:pt idx="12">
                  <c:v>809.27428002745467</c:v>
                </c:pt>
                <c:pt idx="13">
                  <c:v>809.22614543630255</c:v>
                </c:pt>
                <c:pt idx="14">
                  <c:v>809.17383257201197</c:v>
                </c:pt>
                <c:pt idx="15">
                  <c:v>809.11734143458318</c:v>
                </c:pt>
                <c:pt idx="16">
                  <c:v>809.05667202401617</c:v>
                </c:pt>
                <c:pt idx="17">
                  <c:v>808.99258798655455</c:v>
                </c:pt>
                <c:pt idx="18">
                  <c:v>808.98681661932653</c:v>
                </c:pt>
                <c:pt idx="19">
                  <c:v>809.07846296589594</c:v>
                </c:pt>
                <c:pt idx="20">
                  <c:v>809.26752702626266</c:v>
                </c:pt>
                <c:pt idx="21">
                  <c:v>809.5540088004268</c:v>
                </c:pt>
                <c:pt idx="22">
                  <c:v>809.93790828838848</c:v>
                </c:pt>
                <c:pt idx="23">
                  <c:v>810.4192254901476</c:v>
                </c:pt>
                <c:pt idx="24">
                  <c:v>810.99796040570413</c:v>
                </c:pt>
                <c:pt idx="25">
                  <c:v>811.67411303505799</c:v>
                </c:pt>
                <c:pt idx="26">
                  <c:v>812.44768337820938</c:v>
                </c:pt>
                <c:pt idx="27">
                  <c:v>813.31867143515808</c:v>
                </c:pt>
                <c:pt idx="28">
                  <c:v>814.28707720590444</c:v>
                </c:pt>
                <c:pt idx="29">
                  <c:v>815.352900690448</c:v>
                </c:pt>
                <c:pt idx="30">
                  <c:v>816.51614188878909</c:v>
                </c:pt>
                <c:pt idx="31">
                  <c:v>817.77680080092762</c:v>
                </c:pt>
                <c:pt idx="32">
                  <c:v>819.13487742686357</c:v>
                </c:pt>
                <c:pt idx="33">
                  <c:v>820.59037176659695</c:v>
                </c:pt>
                <c:pt idx="34">
                  <c:v>822.14328382012775</c:v>
                </c:pt>
                <c:pt idx="35">
                  <c:v>823.79361358745598</c:v>
                </c:pt>
                <c:pt idx="36">
                  <c:v>825.54136106858164</c:v>
                </c:pt>
                <c:pt idx="37">
                  <c:v>827.38652626350461</c:v>
                </c:pt>
                <c:pt idx="38">
                  <c:v>829.32910917222512</c:v>
                </c:pt>
                <c:pt idx="39">
                  <c:v>831.36910979474317</c:v>
                </c:pt>
                <c:pt idx="40">
                  <c:v>833.50652813105842</c:v>
                </c:pt>
                <c:pt idx="41">
                  <c:v>835.74136418117132</c:v>
                </c:pt>
                <c:pt idx="42">
                  <c:v>838.07361794508154</c:v>
                </c:pt>
                <c:pt idx="43">
                  <c:v>840.50328942278907</c:v>
                </c:pt>
                <c:pt idx="44">
                  <c:v>843.03037861429425</c:v>
                </c:pt>
                <c:pt idx="45">
                  <c:v>845.65488551959675</c:v>
                </c:pt>
                <c:pt idx="46">
                  <c:v>848.37681013869667</c:v>
                </c:pt>
                <c:pt idx="47">
                  <c:v>851.19615247159402</c:v>
                </c:pt>
                <c:pt idx="48">
                  <c:v>854.11291251828891</c:v>
                </c:pt>
                <c:pt idx="49">
                  <c:v>857.12709027878111</c:v>
                </c:pt>
                <c:pt idx="50">
                  <c:v>860.23868575307085</c:v>
                </c:pt>
                <c:pt idx="51">
                  <c:v>863.44769894115791</c:v>
                </c:pt>
                <c:pt idx="52">
                  <c:v>866.75412984304251</c:v>
                </c:pt>
                <c:pt idx="53">
                  <c:v>870.15797845872441</c:v>
                </c:pt>
                <c:pt idx="54">
                  <c:v>873.65924478820375</c:v>
                </c:pt>
                <c:pt idx="55">
                  <c:v>877.25792883148051</c:v>
                </c:pt>
                <c:pt idx="56">
                  <c:v>880.95403058855482</c:v>
                </c:pt>
                <c:pt idx="57">
                  <c:v>884.74755005942654</c:v>
                </c:pt>
                <c:pt idx="58">
                  <c:v>888.63848724409559</c:v>
                </c:pt>
                <c:pt idx="59">
                  <c:v>892.62684214256217</c:v>
                </c:pt>
                <c:pt idx="60">
                  <c:v>896.71261475482606</c:v>
                </c:pt>
                <c:pt idx="61">
                  <c:v>900.8958050808875</c:v>
                </c:pt>
                <c:pt idx="62">
                  <c:v>905.17641312074625</c:v>
                </c:pt>
                <c:pt idx="63">
                  <c:v>909.55443887440254</c:v>
                </c:pt>
                <c:pt idx="64">
                  <c:v>914.02988234185625</c:v>
                </c:pt>
                <c:pt idx="65">
                  <c:v>918.60274352310739</c:v>
                </c:pt>
                <c:pt idx="66">
                  <c:v>923.27302241815596</c:v>
                </c:pt>
                <c:pt idx="67">
                  <c:v>928.04071902700184</c:v>
                </c:pt>
                <c:pt idx="68">
                  <c:v>932.90583334964526</c:v>
                </c:pt>
                <c:pt idx="69">
                  <c:v>937.868365386086</c:v>
                </c:pt>
                <c:pt idx="70">
                  <c:v>942.92831513632427</c:v>
                </c:pt>
                <c:pt idx="71">
                  <c:v>948.08568260035997</c:v>
                </c:pt>
                <c:pt idx="72">
                  <c:v>953.3404677781931</c:v>
                </c:pt>
                <c:pt idx="73">
                  <c:v>958.69267066982366</c:v>
                </c:pt>
                <c:pt idx="74">
                  <c:v>964.14229127525164</c:v>
                </c:pt>
                <c:pt idx="75">
                  <c:v>969.68932959447704</c:v>
                </c:pt>
                <c:pt idx="76">
                  <c:v>975.33378562749976</c:v>
                </c:pt>
                <c:pt idx="77">
                  <c:v>981.07565937432014</c:v>
                </c:pt>
                <c:pt idx="78">
                  <c:v>986.91495083493771</c:v>
                </c:pt>
                <c:pt idx="79">
                  <c:v>992.85166000935294</c:v>
                </c:pt>
                <c:pt idx="80">
                  <c:v>998.88578689756548</c:v>
                </c:pt>
                <c:pt idx="81">
                  <c:v>1005.0173314995754</c:v>
                </c:pt>
                <c:pt idx="82">
                  <c:v>1011.2462938153828</c:v>
                </c:pt>
                <c:pt idx="83">
                  <c:v>1017.5726738449877</c:v>
                </c:pt>
                <c:pt idx="84">
                  <c:v>1023.9964715883899</c:v>
                </c:pt>
                <c:pt idx="85">
                  <c:v>1030.5176870455896</c:v>
                </c:pt>
                <c:pt idx="86">
                  <c:v>1037.1363202165867</c:v>
                </c:pt>
                <c:pt idx="87">
                  <c:v>1043.8523711013813</c:v>
                </c:pt>
                <c:pt idx="88">
                  <c:v>1050.6658396999733</c:v>
                </c:pt>
                <c:pt idx="89">
                  <c:v>1057.5767260123625</c:v>
                </c:pt>
                <c:pt idx="90">
                  <c:v>1064.5850300385496</c:v>
                </c:pt>
                <c:pt idx="91">
                  <c:v>1071.6907517785337</c:v>
                </c:pt>
                <c:pt idx="92">
                  <c:v>1078.8938912323154</c:v>
                </c:pt>
                <c:pt idx="93">
                  <c:v>1086.1944483998946</c:v>
                </c:pt>
                <c:pt idx="94">
                  <c:v>1093.5924232812711</c:v>
                </c:pt>
                <c:pt idx="95">
                  <c:v>1101.0878158764453</c:v>
                </c:pt>
                <c:pt idx="96">
                  <c:v>1108.6806261854167</c:v>
                </c:pt>
                <c:pt idx="97">
                  <c:v>1116.3708542081854</c:v>
                </c:pt>
                <c:pt idx="98">
                  <c:v>1124.1584999447518</c:v>
                </c:pt>
                <c:pt idx="99">
                  <c:v>1132.0435633951156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266:AMD1 VER1; Bolt: 144xM48 HV; D=4600mm; a=160.0mm; b=80.0mm; s=30.0mm; s2=30.0mm; t=125.0mm; w=255.0mm; A=31875mm²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255</c:v>
              </c:pt>
              <c:pt idx="5">
                <c:v>255</c:v>
              </c:pt>
              <c:pt idx="6">
                <c:v>30</c:v>
              </c:pt>
              <c:pt idx="7">
                <c:v>30</c:v>
              </c:pt>
              <c:pt idx="8">
                <c:v>15</c:v>
              </c:pt>
            </c:numLit>
          </c:xVal>
          <c:yVal>
            <c:numLit>
              <c:formatCode>General</c:formatCode>
              <c:ptCount val="9"/>
              <c:pt idx="0">
                <c:v>170</c:v>
              </c:pt>
              <c:pt idx="1">
                <c:v>155</c:v>
              </c:pt>
              <c:pt idx="2">
                <c:v>125</c:v>
              </c:pt>
              <c:pt idx="3">
                <c:v>0</c:v>
              </c:pt>
              <c:pt idx="4">
                <c:v>0</c:v>
              </c:pt>
              <c:pt idx="5">
                <c:v>125</c:v>
              </c:pt>
              <c:pt idx="6">
                <c:v>125</c:v>
              </c:pt>
              <c:pt idx="7">
                <c:v>155</c:v>
              </c:pt>
              <c:pt idx="8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33FA-4CF4-8F8B-FA9DD29D7157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95</c:v>
              </c:pt>
              <c:pt idx="1">
                <c:v>95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3FA-4CF4-8F8B-FA9DD29D7157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71</c:v>
              </c:pt>
              <c:pt idx="1">
                <c:v>71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33FA-4CF4-8F8B-FA9DD29D7157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119</c:v>
              </c:pt>
              <c:pt idx="1">
                <c:v>119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33FA-4CF4-8F8B-FA9DD29D7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0</xdr:colOff>
      <xdr:row>3</xdr:row>
      <xdr:rowOff>0</xdr:rowOff>
    </xdr:from>
    <xdr:to>
      <xdr:col>5</xdr:col>
      <xdr:colOff>182559</xdr:colOff>
      <xdr:row>22</xdr:row>
      <xdr:rowOff>164971</xdr:rowOff>
    </xdr:to>
    <xdr:graphicFrame macro="">
      <xdr:nvGraphicFramePr>
        <xdr:cNvPr id="7" name="Diagramm 1">
          <a:extLst>
            <a:ext uri="{FF2B5EF4-FFF2-40B4-BE49-F238E27FC236}">
              <a16:creationId xmlns:a16="http://schemas.microsoft.com/office/drawing/2014/main" id="{73AE179C-1104-4EB6-83BF-F3D1B7511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135" activePane="bottomLeft" state="frozen"/>
      <selection pane="bottomLeft" activeCell="J155" sqref="J15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101</v>
      </c>
      <c r="C13" s="164"/>
      <c r="D13" s="163" t="s">
        <v>102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100</v>
      </c>
      <c r="C14" s="164"/>
      <c r="D14" s="163" t="s">
        <v>104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99</v>
      </c>
      <c r="C15" s="164"/>
      <c r="D15" s="163" t="s">
        <v>103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98</v>
      </c>
      <c r="C16" s="164"/>
      <c r="D16" s="163" t="str">
        <f>Title</f>
        <v>Flange Segment Analytical Model for 30°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97</v>
      </c>
      <c r="C17" s="164"/>
      <c r="D17" s="162" t="s">
        <v>327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96</v>
      </c>
      <c r="C18" s="164"/>
      <c r="D18" s="174"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0.77768332816019836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1204.2771838760875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-417.16855085811113</v>
      </c>
      <c r="P66" s="71">
        <v>-406.92842350123686</v>
      </c>
      <c r="Q66" s="71">
        <v>-396.68829614436271</v>
      </c>
      <c r="R66" s="71">
        <v>-386.4481687874885</v>
      </c>
      <c r="S66" s="71">
        <v>-376.20804143061423</v>
      </c>
      <c r="T66" s="71">
        <v>-365.96791407374002</v>
      </c>
      <c r="U66" s="71">
        <v>-355.72778671686586</v>
      </c>
      <c r="V66" s="71">
        <v>-345.4876593599916</v>
      </c>
      <c r="W66" s="71">
        <v>-335.24753200311739</v>
      </c>
      <c r="X66" s="71">
        <v>-325.00740464624317</v>
      </c>
      <c r="Y66" s="71">
        <v>-314.76727728936896</v>
      </c>
      <c r="Z66" s="71">
        <v>-304.52714993249475</v>
      </c>
      <c r="AA66" s="71">
        <v>-294.28702257562054</v>
      </c>
      <c r="AB66" s="71">
        <v>-284.04689521874627</v>
      </c>
      <c r="AC66" s="71">
        <v>-273.80676786187212</v>
      </c>
      <c r="AD66" s="71">
        <v>-263.56664050499785</v>
      </c>
      <c r="AE66" s="71">
        <v>-253.32651314812367</v>
      </c>
      <c r="AF66" s="71">
        <v>-243.08638579124946</v>
      </c>
      <c r="AG66" s="71">
        <v>-232.84625843437522</v>
      </c>
      <c r="AH66" s="71">
        <v>-222.60613107750103</v>
      </c>
      <c r="AI66" s="71">
        <v>-212.36600372062679</v>
      </c>
      <c r="AJ66" s="71">
        <v>-202.12587636375258</v>
      </c>
      <c r="AK66" s="71">
        <v>-191.88574900687834</v>
      </c>
      <c r="AL66" s="71">
        <v>-181.64562165000416</v>
      </c>
      <c r="AM66" s="71">
        <v>-171.40549429312995</v>
      </c>
      <c r="AN66" s="71">
        <v>-161.16536693625571</v>
      </c>
      <c r="AO66" s="71">
        <v>-150.92523957938147</v>
      </c>
      <c r="AP66" s="71">
        <v>-140.68511222250731</v>
      </c>
      <c r="AQ66" s="71">
        <v>-130.44498486563307</v>
      </c>
      <c r="AR66" s="71">
        <v>-120.20485750875883</v>
      </c>
      <c r="AS66" s="71">
        <v>-109.96473015188461</v>
      </c>
      <c r="AT66" s="71">
        <v>-99.724602795010426</v>
      </c>
      <c r="AU66" s="71">
        <v>-89.484475438136201</v>
      </c>
      <c r="AV66" s="71">
        <v>-79.244348081261961</v>
      </c>
      <c r="AW66" s="71">
        <v>-69.004220724387793</v>
      </c>
      <c r="AX66" s="71">
        <v>-58.76409336751356</v>
      </c>
      <c r="AY66" s="71">
        <v>-48.523966010639327</v>
      </c>
      <c r="AZ66" s="71">
        <v>-38.283838653765095</v>
      </c>
      <c r="BA66" s="71">
        <v>-28.043711296890919</v>
      </c>
      <c r="BB66" s="71">
        <v>-17.803583940016686</v>
      </c>
      <c r="BC66" s="71">
        <v>-7.5634565831424556</v>
      </c>
      <c r="BD66" s="71">
        <v>2.6766707737317192</v>
      </c>
      <c r="BE66" s="71">
        <v>12.916798130605953</v>
      </c>
      <c r="BF66" s="71">
        <v>23.156925487480184</v>
      </c>
      <c r="BG66" s="71">
        <v>33.39705284435442</v>
      </c>
      <c r="BH66" s="71">
        <v>43.637180201228588</v>
      </c>
      <c r="BI66" s="71">
        <v>53.877307558102821</v>
      </c>
      <c r="BJ66" s="71">
        <v>64.117434914977053</v>
      </c>
      <c r="BK66" s="71">
        <v>74.357562271851236</v>
      </c>
      <c r="BL66" s="71">
        <v>84.597689628725462</v>
      </c>
      <c r="BM66" s="71">
        <v>94.837816985599702</v>
      </c>
      <c r="BN66" s="71">
        <v>105.07794434247393</v>
      </c>
      <c r="BO66" s="71">
        <v>115.31807169934817</v>
      </c>
      <c r="BP66" s="71">
        <v>125.55819905622234</v>
      </c>
      <c r="BQ66" s="71">
        <v>135.7983264130965</v>
      </c>
      <c r="BR66" s="71">
        <v>146.0384537699708</v>
      </c>
      <c r="BS66" s="71">
        <v>156.27858112684498</v>
      </c>
      <c r="BT66" s="71">
        <v>166.51870848371914</v>
      </c>
      <c r="BU66" s="71">
        <v>176.75883584059343</v>
      </c>
      <c r="BV66" s="71">
        <v>186.99896319746762</v>
      </c>
      <c r="BW66" s="71">
        <v>197.23909055434191</v>
      </c>
      <c r="BX66" s="71">
        <v>207.47921791121607</v>
      </c>
      <c r="BY66" s="71">
        <v>217.71934526809025</v>
      </c>
      <c r="BZ66" s="71">
        <v>227.95947262496455</v>
      </c>
      <c r="CA66" s="71">
        <v>238.19959998183873</v>
      </c>
      <c r="CB66" s="71">
        <v>248.43972733871288</v>
      </c>
      <c r="CC66" s="71">
        <v>258.67985469558721</v>
      </c>
      <c r="CD66" s="71">
        <v>268.91998205246136</v>
      </c>
      <c r="CE66" s="71">
        <v>279.16010940933552</v>
      </c>
      <c r="CF66" s="71">
        <v>289.40023676620984</v>
      </c>
      <c r="CG66" s="71">
        <v>299.640364123084</v>
      </c>
      <c r="CH66" s="71">
        <v>309.88049147995827</v>
      </c>
      <c r="CI66" s="71">
        <v>320.12061883683248</v>
      </c>
      <c r="CJ66" s="71">
        <v>330.36074619370663</v>
      </c>
      <c r="CK66" s="71">
        <v>340.60087355058096</v>
      </c>
      <c r="CL66" s="71">
        <v>350.84100090745511</v>
      </c>
      <c r="CM66" s="71">
        <v>361.08112826432927</v>
      </c>
      <c r="CN66" s="71">
        <v>371.32125562120359</v>
      </c>
      <c r="CO66" s="71">
        <v>381.56138297807775</v>
      </c>
      <c r="CP66" s="71">
        <v>391.8015103349519</v>
      </c>
      <c r="CQ66" s="71">
        <v>402.04163769182622</v>
      </c>
      <c r="CR66" s="71">
        <v>412.28176504870038</v>
      </c>
      <c r="CS66" s="71">
        <v>422.52189240557453</v>
      </c>
      <c r="CT66" s="71">
        <v>432.76201976244886</v>
      </c>
      <c r="CU66" s="71">
        <v>443.00214711932301</v>
      </c>
      <c r="CV66" s="71">
        <v>453.24227447619734</v>
      </c>
      <c r="CW66" s="71">
        <v>463.48240183307149</v>
      </c>
      <c r="CX66" s="71">
        <v>473.72252918994565</v>
      </c>
      <c r="CY66" s="71">
        <v>483.96265654681997</v>
      </c>
      <c r="CZ66" s="71">
        <v>494.20278390369413</v>
      </c>
      <c r="DA66" s="71">
        <v>504.44291126056828</v>
      </c>
      <c r="DB66" s="71">
        <v>514.68303861744255</v>
      </c>
      <c r="DC66" s="71">
        <v>524.92316597431682</v>
      </c>
      <c r="DD66" s="71">
        <v>535.16329333119097</v>
      </c>
      <c r="DE66" s="71">
        <v>545.40342068806524</v>
      </c>
      <c r="DF66" s="71">
        <v>555.64354804493939</v>
      </c>
      <c r="DG66" s="71">
        <v>565.88367540181355</v>
      </c>
      <c r="DH66" s="71">
        <v>576.12380275868793</v>
      </c>
      <c r="DI66" s="71">
        <v>586.36393011556208</v>
      </c>
      <c r="DJ66" s="71">
        <v>596.60405747243624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799.48809688658753</v>
      </c>
      <c r="P67" s="71">
        <v>799.48809688658753</v>
      </c>
      <c r="Q67" s="71">
        <v>799.48812358082284</v>
      </c>
      <c r="R67" s="71">
        <v>799.49641113559835</v>
      </c>
      <c r="S67" s="71">
        <v>799.51949614583373</v>
      </c>
      <c r="T67" s="71">
        <v>799.55737861152909</v>
      </c>
      <c r="U67" s="71">
        <v>799.61005853268443</v>
      </c>
      <c r="V67" s="71">
        <v>799.67753590929976</v>
      </c>
      <c r="W67" s="71">
        <v>799.75981074137496</v>
      </c>
      <c r="X67" s="71">
        <v>799.85688302891015</v>
      </c>
      <c r="Y67" s="71">
        <v>799.96875277190532</v>
      </c>
      <c r="Z67" s="71">
        <v>800.09541997036035</v>
      </c>
      <c r="AA67" s="71">
        <v>800.23688462427538</v>
      </c>
      <c r="AB67" s="71">
        <v>800.39314673365038</v>
      </c>
      <c r="AC67" s="71">
        <v>800.56420629848526</v>
      </c>
      <c r="AD67" s="71">
        <v>800.75006331878012</v>
      </c>
      <c r="AE67" s="71">
        <v>800.95071779453508</v>
      </c>
      <c r="AF67" s="71">
        <v>801.16616972574991</v>
      </c>
      <c r="AG67" s="71">
        <v>801.39641911242461</v>
      </c>
      <c r="AH67" s="71">
        <v>801.64146595455929</v>
      </c>
      <c r="AI67" s="71">
        <v>801.90131025215396</v>
      </c>
      <c r="AJ67" s="71">
        <v>802.17595200520861</v>
      </c>
      <c r="AK67" s="71">
        <v>802.46539121372325</v>
      </c>
      <c r="AL67" s="71">
        <v>802.76962787769764</v>
      </c>
      <c r="AM67" s="71">
        <v>803.08866199713225</v>
      </c>
      <c r="AN67" s="71">
        <v>803.42249357202661</v>
      </c>
      <c r="AO67" s="71">
        <v>803.77112260238107</v>
      </c>
      <c r="AP67" s="71">
        <v>804.13454908819529</v>
      </c>
      <c r="AQ67" s="71">
        <v>804.5127730294696</v>
      </c>
      <c r="AR67" s="71">
        <v>804.9057944262039</v>
      </c>
      <c r="AS67" s="71">
        <v>805.31361327839807</v>
      </c>
      <c r="AT67" s="71">
        <v>805.73622958605222</v>
      </c>
      <c r="AU67" s="71">
        <v>806.17364334916635</v>
      </c>
      <c r="AV67" s="71">
        <v>806.62585456774048</v>
      </c>
      <c r="AW67" s="71">
        <v>807.09286324177447</v>
      </c>
      <c r="AX67" s="71">
        <v>807.57466937126833</v>
      </c>
      <c r="AY67" s="71">
        <v>808.07127295622229</v>
      </c>
      <c r="AZ67" s="71">
        <v>808.58267399663623</v>
      </c>
      <c r="BA67" s="71">
        <v>809.11178906893747</v>
      </c>
      <c r="BB67" s="71">
        <v>809.7509549585659</v>
      </c>
      <c r="BC67" s="71">
        <v>810.54424243054291</v>
      </c>
      <c r="BD67" s="71">
        <v>811.49165148486861</v>
      </c>
      <c r="BE67" s="71">
        <v>812.59318212154312</v>
      </c>
      <c r="BF67" s="71">
        <v>813.84883434056621</v>
      </c>
      <c r="BG67" s="71">
        <v>815.25860814193788</v>
      </c>
      <c r="BH67" s="71">
        <v>816.82250352565836</v>
      </c>
      <c r="BI67" s="71">
        <v>818.54052049172742</v>
      </c>
      <c r="BJ67" s="71">
        <v>820.41265904014517</v>
      </c>
      <c r="BK67" s="71">
        <v>822.43891917091162</v>
      </c>
      <c r="BL67" s="71">
        <v>824.61930088402676</v>
      </c>
      <c r="BM67" s="71">
        <v>826.95380417949059</v>
      </c>
      <c r="BN67" s="71">
        <v>829.442429057303</v>
      </c>
      <c r="BO67" s="71">
        <v>832.08517551746422</v>
      </c>
      <c r="BP67" s="71">
        <v>834.88204355997391</v>
      </c>
      <c r="BQ67" s="71">
        <v>837.8330331848324</v>
      </c>
      <c r="BR67" s="71">
        <v>840.93814439203959</v>
      </c>
      <c r="BS67" s="71">
        <v>844.19737718159547</v>
      </c>
      <c r="BT67" s="71">
        <v>847.61073155349982</v>
      </c>
      <c r="BU67" s="71">
        <v>851.17820750775309</v>
      </c>
      <c r="BV67" s="71">
        <v>854.89980504435482</v>
      </c>
      <c r="BW67" s="71">
        <v>858.77552416330536</v>
      </c>
      <c r="BX67" s="71">
        <v>862.8053648646046</v>
      </c>
      <c r="BY67" s="71">
        <v>866.98932714825241</v>
      </c>
      <c r="BZ67" s="71">
        <v>871.32741101424892</v>
      </c>
      <c r="CA67" s="71">
        <v>875.81961646259413</v>
      </c>
      <c r="CB67" s="71">
        <v>880.46594349328802</v>
      </c>
      <c r="CC67" s="71">
        <v>885.26639210633061</v>
      </c>
      <c r="CD67" s="71">
        <v>890.22096230172178</v>
      </c>
      <c r="CE67" s="71">
        <v>895.32965407946153</v>
      </c>
      <c r="CF67" s="71">
        <v>900.59246743955021</v>
      </c>
      <c r="CG67" s="71">
        <v>906.00940238198746</v>
      </c>
      <c r="CH67" s="71">
        <v>911.5804589067734</v>
      </c>
      <c r="CI67" s="71">
        <v>917.30563701390793</v>
      </c>
      <c r="CJ67" s="71">
        <v>923.18493670339103</v>
      </c>
      <c r="CK67" s="71">
        <v>929.21835797522294</v>
      </c>
      <c r="CL67" s="71">
        <v>935.40590082940355</v>
      </c>
      <c r="CM67" s="71">
        <v>941.74756526593285</v>
      </c>
      <c r="CN67" s="71">
        <v>948.24335128481084</v>
      </c>
      <c r="CO67" s="71">
        <v>954.89325888603742</v>
      </c>
      <c r="CP67" s="71">
        <v>961.69728806961257</v>
      </c>
      <c r="CQ67" s="71">
        <v>968.65543883553664</v>
      </c>
      <c r="CR67" s="71">
        <v>975.76771118380918</v>
      </c>
      <c r="CS67" s="71">
        <v>983.03410511443042</v>
      </c>
      <c r="CT67" s="71">
        <v>990.45462062740035</v>
      </c>
      <c r="CU67" s="71">
        <v>998.02925772271897</v>
      </c>
      <c r="CV67" s="71">
        <v>1005.7580164003864</v>
      </c>
      <c r="CW67" s="71">
        <v>1013.6408966604023</v>
      </c>
      <c r="CX67" s="71">
        <v>1021.6778985027669</v>
      </c>
      <c r="CY67" s="71">
        <v>1029.8690219274802</v>
      </c>
      <c r="CZ67" s="71">
        <v>1038.2142669345421</v>
      </c>
      <c r="DA67" s="71">
        <v>1046.7136335239527</v>
      </c>
      <c r="DB67" s="71">
        <v>1055.3671216957123</v>
      </c>
      <c r="DC67" s="71">
        <v>1064.17473144982</v>
      </c>
      <c r="DD67" s="71">
        <v>1073.1364627862768</v>
      </c>
      <c r="DE67" s="71">
        <v>1082.2523157050821</v>
      </c>
      <c r="DF67" s="71">
        <v>1091.5222902062362</v>
      </c>
      <c r="DG67" s="71">
        <v>1100.9463862897387</v>
      </c>
      <c r="DH67" s="71">
        <v>1110.5246039555902</v>
      </c>
      <c r="DI67" s="71">
        <v>1120.2569432037903</v>
      </c>
      <c r="DJ67" s="71">
        <v>1130.1434040343388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-39.277022859045694</v>
      </c>
      <c r="P68" s="71">
        <v>-39.277022859045694</v>
      </c>
      <c r="Q68" s="71">
        <v>-39.276921360369677</v>
      </c>
      <c r="R68" s="71">
        <v>-39.245409843871379</v>
      </c>
      <c r="S68" s="71">
        <v>-39.157634414253629</v>
      </c>
      <c r="T68" s="71">
        <v>-39.013595071516406</v>
      </c>
      <c r="U68" s="71">
        <v>-38.813291815659717</v>
      </c>
      <c r="V68" s="71">
        <v>-38.556724646683563</v>
      </c>
      <c r="W68" s="71">
        <v>-38.24389356458795</v>
      </c>
      <c r="X68" s="71">
        <v>-37.874798569372857</v>
      </c>
      <c r="Y68" s="71">
        <v>-37.449439661038312</v>
      </c>
      <c r="Z68" s="71">
        <v>-36.967816839584302</v>
      </c>
      <c r="AA68" s="71">
        <v>-36.429930105010818</v>
      </c>
      <c r="AB68" s="71">
        <v>-35.835779457317869</v>
      </c>
      <c r="AC68" s="71">
        <v>-35.185364896505469</v>
      </c>
      <c r="AD68" s="71">
        <v>-34.478686422573588</v>
      </c>
      <c r="AE68" s="71">
        <v>-33.715744035522249</v>
      </c>
      <c r="AF68" s="71">
        <v>-32.896537735351451</v>
      </c>
      <c r="AG68" s="71">
        <v>-32.02106752206118</v>
      </c>
      <c r="AH68" s="71">
        <v>-31.089333395651447</v>
      </c>
      <c r="AI68" s="71">
        <v>-30.101335356122245</v>
      </c>
      <c r="AJ68" s="71">
        <v>-29.057073403473584</v>
      </c>
      <c r="AK68" s="71">
        <v>-27.956547537705454</v>
      </c>
      <c r="AL68" s="71">
        <v>-26.799757758817858</v>
      </c>
      <c r="AM68" s="71">
        <v>-25.5867040668108</v>
      </c>
      <c r="AN68" s="71">
        <v>-24.317386461684272</v>
      </c>
      <c r="AO68" s="71">
        <v>-22.991804943438279</v>
      </c>
      <c r="AP68" s="71">
        <v>-21.60995951207283</v>
      </c>
      <c r="AQ68" s="71">
        <v>-20.171850167587909</v>
      </c>
      <c r="AR68" s="71">
        <v>-18.677476909983518</v>
      </c>
      <c r="AS68" s="71">
        <v>-17.126839739259665</v>
      </c>
      <c r="AT68" s="71">
        <v>-15.519938655416356</v>
      </c>
      <c r="AU68" s="71">
        <v>-13.856773658453571</v>
      </c>
      <c r="AV68" s="71">
        <v>-12.137344748371323</v>
      </c>
      <c r="AW68" s="71">
        <v>-10.361651925169619</v>
      </c>
      <c r="AX68" s="71">
        <v>-8.5296951888484394</v>
      </c>
      <c r="AY68" s="71">
        <v>-6.6414745394077954</v>
      </c>
      <c r="AZ68" s="71">
        <v>-4.6969899768476857</v>
      </c>
      <c r="BA68" s="71">
        <v>-2.6915777872690221</v>
      </c>
      <c r="BB68" s="71">
        <v>-0.47758802547487367</v>
      </c>
      <c r="BC68" s="71">
        <v>2.015450096630631</v>
      </c>
      <c r="BD68" s="71">
        <v>4.7875365790474751</v>
      </c>
      <c r="BE68" s="71">
        <v>7.8386714217756905</v>
      </c>
      <c r="BF68" s="71">
        <v>11.16885462481526</v>
      </c>
      <c r="BG68" s="71">
        <v>14.77808618816619</v>
      </c>
      <c r="BH68" s="71">
        <v>18.666366111828452</v>
      </c>
      <c r="BI68" s="71">
        <v>22.833694395802084</v>
      </c>
      <c r="BJ68" s="71">
        <v>27.280071040087087</v>
      </c>
      <c r="BK68" s="71">
        <v>32.005496044683404</v>
      </c>
      <c r="BL68" s="71">
        <v>37.009969409591108</v>
      </c>
      <c r="BM68" s="71">
        <v>42.293491134810175</v>
      </c>
      <c r="BN68" s="71">
        <v>47.856061220340585</v>
      </c>
      <c r="BO68" s="71">
        <v>53.69767966618236</v>
      </c>
      <c r="BP68" s="71">
        <v>59.818346472335449</v>
      </c>
      <c r="BQ68" s="71">
        <v>66.218061638799909</v>
      </c>
      <c r="BR68" s="71">
        <v>72.896825165575791</v>
      </c>
      <c r="BS68" s="71">
        <v>79.854637052662937</v>
      </c>
      <c r="BT68" s="71">
        <v>87.091497300061448</v>
      </c>
      <c r="BU68" s="71">
        <v>94.60740590777138</v>
      </c>
      <c r="BV68" s="71">
        <v>102.4023628757926</v>
      </c>
      <c r="BW68" s="71">
        <v>110.47636820412528</v>
      </c>
      <c r="BX68" s="71">
        <v>118.82942189276922</v>
      </c>
      <c r="BY68" s="71">
        <v>127.46152394172449</v>
      </c>
      <c r="BZ68" s="71">
        <v>136.37267435099119</v>
      </c>
      <c r="CA68" s="71">
        <v>145.56287312056918</v>
      </c>
      <c r="CB68" s="71">
        <v>155.03212025045852</v>
      </c>
      <c r="CC68" s="71">
        <v>164.78041574065935</v>
      </c>
      <c r="CD68" s="71">
        <v>174.80775959117142</v>
      </c>
      <c r="CE68" s="71">
        <v>185.11415180199478</v>
      </c>
      <c r="CF68" s="71">
        <v>195.69959237312966</v>
      </c>
      <c r="CG68" s="71">
        <v>206.56408130457578</v>
      </c>
      <c r="CH68" s="71">
        <v>217.70761859633339</v>
      </c>
      <c r="CI68" s="71">
        <v>229.13020424840224</v>
      </c>
      <c r="CJ68" s="71">
        <v>240.83183826078238</v>
      </c>
      <c r="CK68" s="71">
        <v>252.81252063347404</v>
      </c>
      <c r="CL68" s="71">
        <v>265.07225136647696</v>
      </c>
      <c r="CM68" s="71">
        <v>277.61103045979121</v>
      </c>
      <c r="CN68" s="71">
        <v>290.42885791341695</v>
      </c>
      <c r="CO68" s="71">
        <v>303.5257337273539</v>
      </c>
      <c r="CP68" s="71">
        <v>316.90165790160222</v>
      </c>
      <c r="CQ68" s="71">
        <v>330.55663043616198</v>
      </c>
      <c r="CR68" s="71">
        <v>344.49065133103295</v>
      </c>
      <c r="CS68" s="71">
        <v>358.70372058621535</v>
      </c>
      <c r="CT68" s="71">
        <v>373.19583820170925</v>
      </c>
      <c r="CU68" s="71">
        <v>387.96700417751435</v>
      </c>
      <c r="CV68" s="71">
        <v>403.01721851363089</v>
      </c>
      <c r="CW68" s="71">
        <v>418.34648121005864</v>
      </c>
      <c r="CX68" s="71">
        <v>433.95479226679782</v>
      </c>
      <c r="CY68" s="71">
        <v>449.8421516838485</v>
      </c>
      <c r="CZ68" s="71">
        <v>466.00855946121033</v>
      </c>
      <c r="DA68" s="71">
        <v>482.45401559888347</v>
      </c>
      <c r="DB68" s="71">
        <v>499.17852009686823</v>
      </c>
      <c r="DC68" s="71">
        <v>516.18207295516413</v>
      </c>
      <c r="DD68" s="71">
        <v>533.46467417377141</v>
      </c>
      <c r="DE68" s="71">
        <v>551.02632375269025</v>
      </c>
      <c r="DF68" s="71">
        <v>568.86702169192006</v>
      </c>
      <c r="DG68" s="71">
        <v>586.98676799146142</v>
      </c>
      <c r="DH68" s="71">
        <v>605.38556265131433</v>
      </c>
      <c r="DI68" s="71">
        <v>624.06340567147845</v>
      </c>
      <c r="DJ68" s="71">
        <v>643.02029705195378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568.1943404499392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58.209538071357031</v>
      </c>
      <c r="K85" s="79">
        <v>819.31374608230396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-397.3033817696296</v>
      </c>
      <c r="K86" s="79">
        <v>799.48809688658753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811229.13009658037</v>
      </c>
      <c r="J89" s="80">
        <v>9.6110518193252462E-2</v>
      </c>
      <c r="K89" s="80">
        <v>7.3489069337807555E-7</v>
      </c>
      <c r="L89" s="3"/>
      <c r="N89" s="1" t="s">
        <v>323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810625.67731230019</v>
      </c>
      <c r="J90" s="80">
        <v>5.606587276506296E-2</v>
      </c>
      <c r="K90" s="80">
        <v>7.0558011003253827E-8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799488.09688658756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303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304</v>
      </c>
      <c r="R112" s="137">
        <f>R111/2/(J113-J116)</f>
        <v>6.1280453979648832E-4</v>
      </c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-3.1102040554913111</v>
      </c>
      <c r="L113" s="3"/>
      <c r="Q113" s="70" t="s">
        <v>305</v>
      </c>
      <c r="R113" s="1">
        <f>R111-2*R112*J113</f>
        <v>0.48693863204985272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568.1943404499392</v>
      </c>
      <c r="K114" s="79">
        <v>591.11404142617653</v>
      </c>
      <c r="L114" s="3"/>
      <c r="Q114" s="70" t="s">
        <v>306</v>
      </c>
      <c r="R114" s="1">
        <f>point1.Ms-R113*J113-R112*J113^2</f>
        <v>11.008992660183946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58.209538071357031</v>
      </c>
      <c r="K115" s="79">
        <v>24.680741653830989</v>
      </c>
      <c r="L115" s="3"/>
      <c r="Q115" s="1" t="s">
        <v>307</v>
      </c>
      <c r="R115" s="1">
        <f>R114+R113*J116+R112*J116^2</f>
        <v>-85.72218995365796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-397.3033817696296</v>
      </c>
      <c r="K116" s="79">
        <v>-39.277022859045694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4.0360025435255498</v>
      </c>
      <c r="J119" s="80">
        <v>2.7721042980256616E-4</v>
      </c>
      <c r="K119" s="80">
        <v>1.3305731739198848E-9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3.0710591560846203</v>
      </c>
      <c r="J120" s="80">
        <v>2.1317755628712579E-4</v>
      </c>
      <c r="K120" s="80">
        <v>2.6828057105581549E-10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-39.277022859045694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262</v>
      </c>
      <c r="C127" s="58"/>
      <c r="D127" s="58"/>
      <c r="E127" s="58"/>
      <c r="F127" s="58"/>
      <c r="G127" s="58"/>
      <c r="H127" s="58"/>
      <c r="I127" s="59" t="s">
        <v>263</v>
      </c>
      <c r="J127" s="127">
        <v>1.4</v>
      </c>
      <c r="K127" s="60" t="s">
        <v>264</v>
      </c>
      <c r="L127" s="3"/>
      <c r="U127" s="99"/>
    </row>
    <row r="128" spans="1:21" ht="20.100000000000001" customHeight="1">
      <c r="A128" s="9" t="s">
        <v>4</v>
      </c>
      <c r="B128" s="8" t="s">
        <v>258</v>
      </c>
      <c r="C128" s="8"/>
      <c r="D128" s="8"/>
      <c r="E128" s="8"/>
      <c r="F128" s="8"/>
      <c r="G128" s="8"/>
      <c r="H128" s="8"/>
      <c r="I128" s="7" t="s">
        <v>259</v>
      </c>
      <c r="J128" s="97">
        <v>0.25543636477371395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260</v>
      </c>
      <c r="C129" s="11"/>
      <c r="D129" s="11"/>
      <c r="E129" s="11"/>
      <c r="F129" s="11"/>
      <c r="G129" s="11"/>
      <c r="H129" s="11"/>
      <c r="I129" s="10" t="s">
        <v>261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242</v>
      </c>
      <c r="C132" s="11"/>
      <c r="D132" s="11"/>
      <c r="E132" s="11"/>
      <c r="F132" s="11"/>
      <c r="G132" s="11"/>
      <c r="H132" s="11"/>
      <c r="I132" s="10" t="s">
        <v>243</v>
      </c>
      <c r="J132" s="97">
        <v>1.8202477434344697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244</v>
      </c>
      <c r="C133" s="17"/>
      <c r="D133" s="17"/>
      <c r="E133" s="17"/>
      <c r="F133" s="17"/>
      <c r="G133" s="17"/>
      <c r="H133" s="17"/>
      <c r="I133" s="16" t="s">
        <v>245</v>
      </c>
      <c r="J133" s="152">
        <v>2873.978995715529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11" t="s">
        <v>246</v>
      </c>
      <c r="C136" s="11"/>
      <c r="D136" s="11"/>
      <c r="E136" s="11"/>
      <c r="F136" s="11"/>
      <c r="G136" s="11"/>
      <c r="H136" s="11"/>
      <c r="I136" s="10" t="s">
        <v>247</v>
      </c>
      <c r="J136" s="152">
        <v>1430.9053629268196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9470.745589013166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0.231037422866266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15195.950974038284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1.6232413887879464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350.0368733661989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330</v>
      </c>
      <c r="C148" s="8"/>
      <c r="D148" s="8"/>
      <c r="E148" s="8"/>
      <c r="F148" s="8"/>
      <c r="G148" s="8"/>
      <c r="H148" s="8"/>
      <c r="I148" s="81" t="s">
        <v>83</v>
      </c>
      <c r="J148" s="62">
        <v>-367.16438176962959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-367.16438176962959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0.11673929538000703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1069.6255108045418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9.3490664713842563E-4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143.97329049349645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6945.7327575990348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29.999999999999996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7247.183012933614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5.1812776977808825E-2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0.19700614002502334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101</v>
      </c>
      <c r="C13" s="164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100</v>
      </c>
      <c r="C14" s="164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99</v>
      </c>
      <c r="C15" s="164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98</v>
      </c>
      <c r="C16" s="164"/>
      <c r="D16" s="163" t="str">
        <f>Title</f>
        <v>Flange Segment Analytical Model for 60°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97</v>
      </c>
      <c r="C17" s="164"/>
      <c r="D17" s="163" t="str">
        <f>Gap30deg!D17</f>
        <v>0.10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96</v>
      </c>
      <c r="C18" s="164"/>
      <c r="D18" s="174">
        <f>Gap30deg!D18</f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1.3495478780142347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2408.554367752175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-220.36060536406438</v>
      </c>
      <c r="P66" s="71">
        <v>-211.75195991477864</v>
      </c>
      <c r="Q66" s="71">
        <v>-203.14331446549286</v>
      </c>
      <c r="R66" s="71">
        <v>-194.53466901620709</v>
      </c>
      <c r="S66" s="71">
        <v>-185.92602356692134</v>
      </c>
      <c r="T66" s="71">
        <v>-177.31737811763563</v>
      </c>
      <c r="U66" s="71">
        <v>-168.70873266834985</v>
      </c>
      <c r="V66" s="71">
        <v>-160.10008721906408</v>
      </c>
      <c r="W66" s="71">
        <v>-151.49144176977833</v>
      </c>
      <c r="X66" s="71">
        <v>-142.88279632049259</v>
      </c>
      <c r="Y66" s="71">
        <v>-134.27415087120681</v>
      </c>
      <c r="Z66" s="71">
        <v>-125.66550542192104</v>
      </c>
      <c r="AA66" s="71">
        <v>-117.05685997263528</v>
      </c>
      <c r="AB66" s="71">
        <v>-108.44821452334952</v>
      </c>
      <c r="AC66" s="71">
        <v>-99.83956907406376</v>
      </c>
      <c r="AD66" s="71">
        <v>-91.230923624778001</v>
      </c>
      <c r="AE66" s="71">
        <v>-82.622278175492241</v>
      </c>
      <c r="AF66" s="71">
        <v>-74.013632726206509</v>
      </c>
      <c r="AG66" s="71">
        <v>-65.404987276920735</v>
      </c>
      <c r="AH66" s="71">
        <v>-56.796341827634954</v>
      </c>
      <c r="AI66" s="71">
        <v>-48.187696378349209</v>
      </c>
      <c r="AJ66" s="71">
        <v>-39.579050929063463</v>
      </c>
      <c r="AK66" s="71">
        <v>-30.970405479777693</v>
      </c>
      <c r="AL66" s="71">
        <v>-22.361760030491919</v>
      </c>
      <c r="AM66" s="71">
        <v>-13.753114581206173</v>
      </c>
      <c r="AN66" s="71">
        <v>-5.1444691319204283</v>
      </c>
      <c r="AO66" s="71">
        <v>3.4641763173653453</v>
      </c>
      <c r="AP66" s="71">
        <v>12.072821766651119</v>
      </c>
      <c r="AQ66" s="71">
        <v>20.681467215936863</v>
      </c>
      <c r="AR66" s="71">
        <v>29.290112665222608</v>
      </c>
      <c r="AS66" s="71">
        <v>37.898758114508382</v>
      </c>
      <c r="AT66" s="71">
        <v>46.507403563794156</v>
      </c>
      <c r="AU66" s="71">
        <v>55.116049013079902</v>
      </c>
      <c r="AV66" s="71">
        <v>63.724694462365647</v>
      </c>
      <c r="AW66" s="71">
        <v>72.333339911651393</v>
      </c>
      <c r="AX66" s="71">
        <v>80.941985360937196</v>
      </c>
      <c r="AY66" s="71">
        <v>89.550630810222941</v>
      </c>
      <c r="AZ66" s="71">
        <v>98.159276259508687</v>
      </c>
      <c r="BA66" s="71">
        <v>106.76792170879449</v>
      </c>
      <c r="BB66" s="71">
        <v>115.37656715808023</v>
      </c>
      <c r="BC66" s="71">
        <v>123.98521260736598</v>
      </c>
      <c r="BD66" s="71">
        <v>132.59385805665173</v>
      </c>
      <c r="BE66" s="71">
        <v>141.20250350593747</v>
      </c>
      <c r="BF66" s="71">
        <v>149.81114895522327</v>
      </c>
      <c r="BG66" s="71">
        <v>158.41979440450902</v>
      </c>
      <c r="BH66" s="71">
        <v>167.02843985379477</v>
      </c>
      <c r="BI66" s="71">
        <v>175.63708530308057</v>
      </c>
      <c r="BJ66" s="71">
        <v>184.24573075236631</v>
      </c>
      <c r="BK66" s="71">
        <v>192.85437620165206</v>
      </c>
      <c r="BL66" s="71">
        <v>201.4630216509378</v>
      </c>
      <c r="BM66" s="71">
        <v>210.07166710022355</v>
      </c>
      <c r="BN66" s="71">
        <v>218.68031254950935</v>
      </c>
      <c r="BO66" s="71">
        <v>227.2889579987951</v>
      </c>
      <c r="BP66" s="71">
        <v>235.89760344808084</v>
      </c>
      <c r="BQ66" s="71">
        <v>244.50624889736665</v>
      </c>
      <c r="BR66" s="71">
        <v>253.11489434665239</v>
      </c>
      <c r="BS66" s="71">
        <v>261.72353979593811</v>
      </c>
      <c r="BT66" s="71">
        <v>270.33218524522385</v>
      </c>
      <c r="BU66" s="71">
        <v>278.9408306945096</v>
      </c>
      <c r="BV66" s="71">
        <v>287.5494761437954</v>
      </c>
      <c r="BW66" s="71">
        <v>296.15812159308115</v>
      </c>
      <c r="BX66" s="71">
        <v>304.76676704236695</v>
      </c>
      <c r="BY66" s="71">
        <v>313.3754124916527</v>
      </c>
      <c r="BZ66" s="71">
        <v>321.98405794093844</v>
      </c>
      <c r="CA66" s="71">
        <v>330.59270339022419</v>
      </c>
      <c r="CB66" s="71">
        <v>339.20134883950993</v>
      </c>
      <c r="CC66" s="71">
        <v>347.80999428879568</v>
      </c>
      <c r="CD66" s="71">
        <v>356.41863973808142</v>
      </c>
      <c r="CE66" s="71">
        <v>365.02728518736717</v>
      </c>
      <c r="CF66" s="71">
        <v>373.63593063665303</v>
      </c>
      <c r="CG66" s="71">
        <v>382.24457608593877</v>
      </c>
      <c r="CH66" s="71">
        <v>390.85322153522452</v>
      </c>
      <c r="CI66" s="71">
        <v>399.46186698451027</v>
      </c>
      <c r="CJ66" s="71">
        <v>408.07051243379601</v>
      </c>
      <c r="CK66" s="71">
        <v>416.67915788308176</v>
      </c>
      <c r="CL66" s="71">
        <v>425.2878033323675</v>
      </c>
      <c r="CM66" s="71">
        <v>433.89644878165336</v>
      </c>
      <c r="CN66" s="71">
        <v>442.50509423093911</v>
      </c>
      <c r="CO66" s="71">
        <v>451.11373968022485</v>
      </c>
      <c r="CP66" s="71">
        <v>459.7223851295106</v>
      </c>
      <c r="CQ66" s="71">
        <v>468.33103057879634</v>
      </c>
      <c r="CR66" s="71">
        <v>476.93967602808209</v>
      </c>
      <c r="CS66" s="71">
        <v>485.54832147736784</v>
      </c>
      <c r="CT66" s="71">
        <v>494.15696692665358</v>
      </c>
      <c r="CU66" s="71">
        <v>502.76561237593933</v>
      </c>
      <c r="CV66" s="71">
        <v>511.37425782522519</v>
      </c>
      <c r="CW66" s="71">
        <v>519.98290327451093</v>
      </c>
      <c r="CX66" s="71">
        <v>528.59154872379656</v>
      </c>
      <c r="CY66" s="71">
        <v>537.20019417308242</v>
      </c>
      <c r="CZ66" s="71">
        <v>545.80883962236805</v>
      </c>
      <c r="DA66" s="71">
        <v>554.41748507165391</v>
      </c>
      <c r="DB66" s="71">
        <v>563.02613052093955</v>
      </c>
      <c r="DC66" s="71">
        <v>571.63477597022541</v>
      </c>
      <c r="DD66" s="71">
        <v>580.24342141951126</v>
      </c>
      <c r="DE66" s="71">
        <v>588.8520668687969</v>
      </c>
      <c r="DF66" s="71">
        <v>597.46071231808276</v>
      </c>
      <c r="DG66" s="71">
        <v>606.06935776736839</v>
      </c>
      <c r="DH66" s="71">
        <v>614.67800321665425</v>
      </c>
      <c r="DI66" s="71">
        <v>623.28664866593988</v>
      </c>
      <c r="DJ66" s="71">
        <v>631.89529411522585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808.45602965864691</v>
      </c>
      <c r="P67" s="71">
        <v>808.45602965864691</v>
      </c>
      <c r="Q67" s="71">
        <v>808.45679101638689</v>
      </c>
      <c r="R67" s="71">
        <v>808.45998854206277</v>
      </c>
      <c r="S67" s="71">
        <v>808.4656820540655</v>
      </c>
      <c r="T67" s="71">
        <v>808.47387155239483</v>
      </c>
      <c r="U67" s="71">
        <v>808.48455703705088</v>
      </c>
      <c r="V67" s="71">
        <v>808.49773850803354</v>
      </c>
      <c r="W67" s="71">
        <v>808.51341596534303</v>
      </c>
      <c r="X67" s="71">
        <v>808.53158940897902</v>
      </c>
      <c r="Y67" s="71">
        <v>808.55225883894195</v>
      </c>
      <c r="Z67" s="71">
        <v>808.57542425523138</v>
      </c>
      <c r="AA67" s="71">
        <v>808.60108565784753</v>
      </c>
      <c r="AB67" s="71">
        <v>808.62924304679052</v>
      </c>
      <c r="AC67" s="71">
        <v>808.65989642206011</v>
      </c>
      <c r="AD67" s="71">
        <v>808.69304578365643</v>
      </c>
      <c r="AE67" s="71">
        <v>808.72869113157947</v>
      </c>
      <c r="AF67" s="71">
        <v>808.76683246582911</v>
      </c>
      <c r="AG67" s="71">
        <v>808.80746978640548</v>
      </c>
      <c r="AH67" s="71">
        <v>808.85060309330868</v>
      </c>
      <c r="AI67" s="71">
        <v>808.89623238653837</v>
      </c>
      <c r="AJ67" s="71">
        <v>808.9443576660949</v>
      </c>
      <c r="AK67" s="71">
        <v>808.99497893197804</v>
      </c>
      <c r="AL67" s="71">
        <v>809.09104131176116</v>
      </c>
      <c r="AM67" s="71">
        <v>809.29434446082746</v>
      </c>
      <c r="AN67" s="71">
        <v>809.60537916121916</v>
      </c>
      <c r="AO67" s="71">
        <v>810.02414541293649</v>
      </c>
      <c r="AP67" s="71">
        <v>810.55064321597911</v>
      </c>
      <c r="AQ67" s="71">
        <v>811.18487257034735</v>
      </c>
      <c r="AR67" s="71">
        <v>811.92683347604111</v>
      </c>
      <c r="AS67" s="71">
        <v>812.77652593306016</v>
      </c>
      <c r="AT67" s="71">
        <v>813.73394994140483</v>
      </c>
      <c r="AU67" s="71">
        <v>814.79910550107502</v>
      </c>
      <c r="AV67" s="71">
        <v>815.97199261207061</v>
      </c>
      <c r="AW67" s="71">
        <v>817.2526112743916</v>
      </c>
      <c r="AX67" s="71">
        <v>818.64096148803822</v>
      </c>
      <c r="AY67" s="71">
        <v>820.13704325301023</v>
      </c>
      <c r="AZ67" s="71">
        <v>821.74085656930777</v>
      </c>
      <c r="BA67" s="71">
        <v>823.4524014369307</v>
      </c>
      <c r="BB67" s="71">
        <v>825.27167785587915</v>
      </c>
      <c r="BC67" s="71">
        <v>827.19868582615311</v>
      </c>
      <c r="BD67" s="71">
        <v>829.23342534775259</v>
      </c>
      <c r="BE67" s="71">
        <v>831.37589642067746</v>
      </c>
      <c r="BF67" s="71">
        <v>833.62609904492786</v>
      </c>
      <c r="BG67" s="71">
        <v>835.98403322050376</v>
      </c>
      <c r="BH67" s="71">
        <v>838.44969894740507</v>
      </c>
      <c r="BI67" s="71">
        <v>841.02309622563189</v>
      </c>
      <c r="BJ67" s="71">
        <v>843.70422505518422</v>
      </c>
      <c r="BK67" s="71">
        <v>846.49308543606196</v>
      </c>
      <c r="BL67" s="71">
        <v>849.3896773682651</v>
      </c>
      <c r="BM67" s="71">
        <v>852.39400085179386</v>
      </c>
      <c r="BN67" s="71">
        <v>855.50605588664814</v>
      </c>
      <c r="BO67" s="71">
        <v>858.72584247282771</v>
      </c>
      <c r="BP67" s="71">
        <v>862.0533606103329</v>
      </c>
      <c r="BQ67" s="71">
        <v>865.4886102991635</v>
      </c>
      <c r="BR67" s="71">
        <v>869.03159153931961</v>
      </c>
      <c r="BS67" s="71">
        <v>872.68230433080123</v>
      </c>
      <c r="BT67" s="71">
        <v>876.44074867360825</v>
      </c>
      <c r="BU67" s="71">
        <v>880.30692456774091</v>
      </c>
      <c r="BV67" s="71">
        <v>884.28083201319885</v>
      </c>
      <c r="BW67" s="71">
        <v>888.36247100998241</v>
      </c>
      <c r="BX67" s="71">
        <v>892.55184155809138</v>
      </c>
      <c r="BY67" s="71">
        <v>896.84894365752587</v>
      </c>
      <c r="BZ67" s="71">
        <v>901.25377730828575</v>
      </c>
      <c r="CA67" s="71">
        <v>905.76634251037115</v>
      </c>
      <c r="CB67" s="71">
        <v>910.38663926378194</v>
      </c>
      <c r="CC67" s="71">
        <v>915.11466756851837</v>
      </c>
      <c r="CD67" s="71">
        <v>919.9504274245802</v>
      </c>
      <c r="CE67" s="71">
        <v>924.89391883196754</v>
      </c>
      <c r="CF67" s="71">
        <v>929.9451417906804</v>
      </c>
      <c r="CG67" s="71">
        <v>935.10409630071865</v>
      </c>
      <c r="CH67" s="71">
        <v>940.37078236208242</v>
      </c>
      <c r="CI67" s="71">
        <v>945.74519997477159</v>
      </c>
      <c r="CJ67" s="71">
        <v>951.22734913878628</v>
      </c>
      <c r="CK67" s="71">
        <v>956.81722985412648</v>
      </c>
      <c r="CL67" s="71">
        <v>962.51484212079208</v>
      </c>
      <c r="CM67" s="71">
        <v>968.32018593878331</v>
      </c>
      <c r="CN67" s="71">
        <v>974.23326130809994</v>
      </c>
      <c r="CO67" s="71">
        <v>980.25406822874209</v>
      </c>
      <c r="CP67" s="71">
        <v>986.38260670070952</v>
      </c>
      <c r="CQ67" s="71">
        <v>992.61887672400269</v>
      </c>
      <c r="CR67" s="71">
        <v>998.96287829862115</v>
      </c>
      <c r="CS67" s="71">
        <v>1005.4146114245652</v>
      </c>
      <c r="CT67" s="71">
        <v>1011.9740761018346</v>
      </c>
      <c r="CU67" s="71">
        <v>1018.6412723304296</v>
      </c>
      <c r="CV67" s="71">
        <v>1025.4162001103502</v>
      </c>
      <c r="CW67" s="71">
        <v>1032.2988594415961</v>
      </c>
      <c r="CX67" s="71">
        <v>1039.2892503241674</v>
      </c>
      <c r="CY67" s="71">
        <v>1046.3873727580642</v>
      </c>
      <c r="CZ67" s="71">
        <v>1053.5932267432866</v>
      </c>
      <c r="DA67" s="71">
        <v>1060.9068122798344</v>
      </c>
      <c r="DB67" s="71">
        <v>1068.3281293677078</v>
      </c>
      <c r="DC67" s="71">
        <v>1075.8571780069065</v>
      </c>
      <c r="DD67" s="71">
        <v>1083.4939581974309</v>
      </c>
      <c r="DE67" s="71">
        <v>1091.2384699392805</v>
      </c>
      <c r="DF67" s="71">
        <v>1099.0907132324558</v>
      </c>
      <c r="DG67" s="71">
        <v>1107.0506880769565</v>
      </c>
      <c r="DH67" s="71">
        <v>1115.1183944727827</v>
      </c>
      <c r="DI67" s="71">
        <v>1123.2938324199342</v>
      </c>
      <c r="DJ67" s="71">
        <v>1131.5770019184115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-18.937877491425979</v>
      </c>
      <c r="P68" s="71">
        <v>-18.937877491425979</v>
      </c>
      <c r="Q68" s="71">
        <v>-18.917682279938163</v>
      </c>
      <c r="R68" s="71">
        <v>-18.832867082207741</v>
      </c>
      <c r="S68" s="71">
        <v>-18.681845199907194</v>
      </c>
      <c r="T68" s="71">
        <v>-18.464616633036517</v>
      </c>
      <c r="U68" s="71">
        <v>-18.181181381595717</v>
      </c>
      <c r="V68" s="71">
        <v>-17.831539445584784</v>
      </c>
      <c r="W68" s="71">
        <v>-17.415690825003729</v>
      </c>
      <c r="X68" s="71">
        <v>-16.933635519852544</v>
      </c>
      <c r="Y68" s="71">
        <v>-16.385373530131236</v>
      </c>
      <c r="Z68" s="71">
        <v>-15.770904855839797</v>
      </c>
      <c r="AA68" s="71">
        <v>-15.090229496978232</v>
      </c>
      <c r="AB68" s="71">
        <v>-14.343347453546539</v>
      </c>
      <c r="AC68" s="71">
        <v>-13.530258725544718</v>
      </c>
      <c r="AD68" s="71">
        <v>-12.65096331297277</v>
      </c>
      <c r="AE68" s="71">
        <v>-11.705461215830697</v>
      </c>
      <c r="AF68" s="71">
        <v>-10.693752434118498</v>
      </c>
      <c r="AG68" s="71">
        <v>-9.6158369678361684</v>
      </c>
      <c r="AH68" s="71">
        <v>-8.4717148169837095</v>
      </c>
      <c r="AI68" s="71">
        <v>-7.2613859815611299</v>
      </c>
      <c r="AJ68" s="71">
        <v>-5.9848504615684224</v>
      </c>
      <c r="AK68" s="71">
        <v>-4.6421082570055816</v>
      </c>
      <c r="AL68" s="71">
        <v>-3.1805778772646192</v>
      </c>
      <c r="AM68" s="71">
        <v>-1.5245925777636167</v>
      </c>
      <c r="AN68" s="71">
        <v>0.32644854904626075</v>
      </c>
      <c r="AO68" s="71">
        <v>2.3725455031650209</v>
      </c>
      <c r="AP68" s="71">
        <v>4.6136982845926582</v>
      </c>
      <c r="AQ68" s="71">
        <v>7.0499068933291635</v>
      </c>
      <c r="AR68" s="71">
        <v>9.6811713293745445</v>
      </c>
      <c r="AS68" s="71">
        <v>12.50749159272881</v>
      </c>
      <c r="AT68" s="71">
        <v>15.528867683391953</v>
      </c>
      <c r="AU68" s="71">
        <v>18.745299601363961</v>
      </c>
      <c r="AV68" s="71">
        <v>22.156787346644844</v>
      </c>
      <c r="AW68" s="71">
        <v>25.763330919234605</v>
      </c>
      <c r="AX68" s="71">
        <v>29.564930319133264</v>
      </c>
      <c r="AY68" s="71">
        <v>33.56158554634078</v>
      </c>
      <c r="AZ68" s="71">
        <v>37.753296600857155</v>
      </c>
      <c r="BA68" s="71">
        <v>42.140063482682457</v>
      </c>
      <c r="BB68" s="71">
        <v>46.721886191816587</v>
      </c>
      <c r="BC68" s="71">
        <v>51.498764728259609</v>
      </c>
      <c r="BD68" s="71">
        <v>56.4706990920115</v>
      </c>
      <c r="BE68" s="71">
        <v>61.637689283072255</v>
      </c>
      <c r="BF68" s="71">
        <v>66.999735301441945</v>
      </c>
      <c r="BG68" s="71">
        <v>72.556837147120447</v>
      </c>
      <c r="BH68" s="71">
        <v>78.308994820107856</v>
      </c>
      <c r="BI68" s="71">
        <v>84.256208320404156</v>
      </c>
      <c r="BJ68" s="71">
        <v>90.398477648009305</v>
      </c>
      <c r="BK68" s="71">
        <v>96.735802802923331</v>
      </c>
      <c r="BL68" s="71">
        <v>103.26818378514622</v>
      </c>
      <c r="BM68" s="71">
        <v>109.995620594678</v>
      </c>
      <c r="BN68" s="71">
        <v>116.91811323151869</v>
      </c>
      <c r="BO68" s="71">
        <v>124.03566169566821</v>
      </c>
      <c r="BP68" s="71">
        <v>131.34826598712661</v>
      </c>
      <c r="BQ68" s="71">
        <v>138.85592610589393</v>
      </c>
      <c r="BR68" s="71">
        <v>146.55864205197008</v>
      </c>
      <c r="BS68" s="71">
        <v>154.4564138253551</v>
      </c>
      <c r="BT68" s="71">
        <v>162.54924142604904</v>
      </c>
      <c r="BU68" s="71">
        <v>170.83712485405181</v>
      </c>
      <c r="BV68" s="71">
        <v>179.3200641093635</v>
      </c>
      <c r="BW68" s="71">
        <v>187.99805919198405</v>
      </c>
      <c r="BX68" s="71">
        <v>196.8711101019135</v>
      </c>
      <c r="BY68" s="71">
        <v>205.93921683915181</v>
      </c>
      <c r="BZ68" s="71">
        <v>215.20237940369893</v>
      </c>
      <c r="CA68" s="71">
        <v>224.66059779555493</v>
      </c>
      <c r="CB68" s="71">
        <v>234.31387201471986</v>
      </c>
      <c r="CC68" s="71">
        <v>244.16220206119365</v>
      </c>
      <c r="CD68" s="71">
        <v>254.20558793497634</v>
      </c>
      <c r="CE68" s="71">
        <v>264.44402963606791</v>
      </c>
      <c r="CF68" s="71">
        <v>274.8775271644684</v>
      </c>
      <c r="CG68" s="71">
        <v>285.5060805201777</v>
      </c>
      <c r="CH68" s="71">
        <v>296.32968970319592</v>
      </c>
      <c r="CI68" s="71">
        <v>307.34835471352295</v>
      </c>
      <c r="CJ68" s="71">
        <v>318.56207555115878</v>
      </c>
      <c r="CK68" s="71">
        <v>329.97085221610359</v>
      </c>
      <c r="CL68" s="71">
        <v>341.57468470835727</v>
      </c>
      <c r="CM68" s="71">
        <v>353.37357302792003</v>
      </c>
      <c r="CN68" s="71">
        <v>365.36751717479137</v>
      </c>
      <c r="CO68" s="71">
        <v>377.55651714897169</v>
      </c>
      <c r="CP68" s="71">
        <v>389.94057295046088</v>
      </c>
      <c r="CQ68" s="71">
        <v>402.51968457925892</v>
      </c>
      <c r="CR68" s="71">
        <v>415.29385203536589</v>
      </c>
      <c r="CS68" s="71">
        <v>428.26307531878172</v>
      </c>
      <c r="CT68" s="71">
        <v>441.42735442950629</v>
      </c>
      <c r="CU68" s="71">
        <v>454.78668936753985</v>
      </c>
      <c r="CV68" s="71">
        <v>468.3410801328825</v>
      </c>
      <c r="CW68" s="71">
        <v>482.09052672553383</v>
      </c>
      <c r="CX68" s="71">
        <v>496.03502914549387</v>
      </c>
      <c r="CY68" s="71">
        <v>510.17458739276316</v>
      </c>
      <c r="CZ68" s="71">
        <v>524.50920146734086</v>
      </c>
      <c r="DA68" s="71">
        <v>539.03887136922776</v>
      </c>
      <c r="DB68" s="71">
        <v>553.76359709842325</v>
      </c>
      <c r="DC68" s="71">
        <v>568.68337865492799</v>
      </c>
      <c r="DD68" s="71">
        <v>583.79821603874154</v>
      </c>
      <c r="DE68" s="71">
        <v>599.10810924986379</v>
      </c>
      <c r="DF68" s="71">
        <v>614.61305828829518</v>
      </c>
      <c r="DG68" s="71">
        <v>630.31306315403492</v>
      </c>
      <c r="DH68" s="71">
        <v>646.20812384708415</v>
      </c>
      <c r="DI68" s="71">
        <v>662.29824036744174</v>
      </c>
      <c r="DJ68" s="71">
        <v>678.58341271510881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601.80504201450083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40.152279453848287</v>
      </c>
      <c r="K85" s="79">
        <v>813.01674536517157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-209.86724320387083</v>
      </c>
      <c r="K86" s="79">
        <v>808.45602965864691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809842.67768003047</v>
      </c>
      <c r="J89" s="80">
        <v>4.9866164831064423E-2</v>
      </c>
      <c r="K89" s="80">
        <v>7.2684745623142079E-7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809197.73580594559</v>
      </c>
      <c r="J90" s="80">
        <v>7.0683364966886222E-3</v>
      </c>
      <c r="K90" s="80">
        <v>1.6840018453528369E-8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808456.0296586469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-4.5089231256697397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601.80504201450083</v>
      </c>
      <c r="K114" s="79">
        <v>622.51164350684348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40.152279453848287</v>
      </c>
      <c r="K115" s="79">
        <v>13.279562803876372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-209.86724320387083</v>
      </c>
      <c r="K116" s="79">
        <v>-18.937877491425979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1.5257293709294406</v>
      </c>
      <c r="J119" s="80">
        <v>2.3989059773829694E-4</v>
      </c>
      <c r="K119" s="80">
        <v>1.3160103067135817E-9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0.73607040351551101</v>
      </c>
      <c r="J120" s="80">
        <v>1.8748945852240195E-4</v>
      </c>
      <c r="K120" s="80">
        <v>4.4668585640177664E-10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-18.937877491425979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0.61333841412818146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0.63575115537527971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2.3404954868689396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1117.573994690252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96.742143281436711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2671.4955035377156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0.24152896934446325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22319.46874374678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1.1196935076819956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537.47301193195767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-179.72824320387085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-179.72824320387085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5.7144291530627757E-2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1069.6255108045418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9.3490664713842563E-4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143.97329049349645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6945.7327575990348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59.999999999999993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7247.183012933614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6.0532538643468387E-3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0.16056412847021567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101</v>
      </c>
      <c r="C13" s="164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100</v>
      </c>
      <c r="C14" s="164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99</v>
      </c>
      <c r="C15" s="164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98</v>
      </c>
      <c r="C16" s="164"/>
      <c r="D16" s="163" t="str">
        <f>Title</f>
        <v>Flange Segment Analytical Model for 90°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97</v>
      </c>
      <c r="C17" s="164"/>
      <c r="D17" s="163" t="str">
        <f>Gap30deg!D17</f>
        <v>0.10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96</v>
      </c>
      <c r="C18" s="164"/>
      <c r="D18" s="174">
        <f>Gap30deg!D18</f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2.0873778911039063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3612.8315516282623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-182.83123144345009</v>
      </c>
      <c r="P66" s="71">
        <v>-174.54856326047766</v>
      </c>
      <c r="Q66" s="71">
        <v>-166.26589507750526</v>
      </c>
      <c r="R66" s="71">
        <v>-157.98322689453286</v>
      </c>
      <c r="S66" s="71">
        <v>-149.70055871156043</v>
      </c>
      <c r="T66" s="71">
        <v>-141.41789052858803</v>
      </c>
      <c r="U66" s="71">
        <v>-133.13522234561566</v>
      </c>
      <c r="V66" s="71">
        <v>-124.85255416264324</v>
      </c>
      <c r="W66" s="71">
        <v>-116.56988597967083</v>
      </c>
      <c r="X66" s="71">
        <v>-108.28721779669841</v>
      </c>
      <c r="Y66" s="71">
        <v>-100.004549613726</v>
      </c>
      <c r="Z66" s="71">
        <v>-91.721881430753612</v>
      </c>
      <c r="AA66" s="71">
        <v>-83.439213247781197</v>
      </c>
      <c r="AB66" s="71">
        <v>-75.156545064808782</v>
      </c>
      <c r="AC66" s="71">
        <v>-66.873876881836395</v>
      </c>
      <c r="AD66" s="71">
        <v>-58.59120869886398</v>
      </c>
      <c r="AE66" s="71">
        <v>-50.308540515891565</v>
      </c>
      <c r="AF66" s="71">
        <v>-42.025872332919157</v>
      </c>
      <c r="AG66" s="71">
        <v>-33.743204149946742</v>
      </c>
      <c r="AH66" s="71">
        <v>-25.460535966974334</v>
      </c>
      <c r="AI66" s="71">
        <v>-17.177867784001922</v>
      </c>
      <c r="AJ66" s="71">
        <v>-8.8951996010295407</v>
      </c>
      <c r="AK66" s="71">
        <v>-0.61253141805712952</v>
      </c>
      <c r="AL66" s="71">
        <v>7.6701367649152816</v>
      </c>
      <c r="AM66" s="71">
        <v>15.952804947887692</v>
      </c>
      <c r="AN66" s="71">
        <v>24.235473130860104</v>
      </c>
      <c r="AO66" s="71">
        <v>32.518141313832515</v>
      </c>
      <c r="AP66" s="71">
        <v>40.800809496804924</v>
      </c>
      <c r="AQ66" s="71">
        <v>49.08347767977731</v>
      </c>
      <c r="AR66" s="71">
        <v>57.366145862749718</v>
      </c>
      <c r="AS66" s="71">
        <v>65.648814045722133</v>
      </c>
      <c r="AT66" s="71">
        <v>73.931482228694549</v>
      </c>
      <c r="AU66" s="71">
        <v>82.214150411666949</v>
      </c>
      <c r="AV66" s="71">
        <v>90.496818594639365</v>
      </c>
      <c r="AW66" s="71">
        <v>98.77948677761178</v>
      </c>
      <c r="AX66" s="71">
        <v>107.06215496058418</v>
      </c>
      <c r="AY66" s="71">
        <v>115.3448231435566</v>
      </c>
      <c r="AZ66" s="71">
        <v>123.62749132652901</v>
      </c>
      <c r="BA66" s="71">
        <v>131.91015950950143</v>
      </c>
      <c r="BB66" s="71">
        <v>140.19282769247383</v>
      </c>
      <c r="BC66" s="71">
        <v>148.47549587544626</v>
      </c>
      <c r="BD66" s="71">
        <v>156.7581640584186</v>
      </c>
      <c r="BE66" s="71">
        <v>165.040832241391</v>
      </c>
      <c r="BF66" s="71">
        <v>173.32350042436343</v>
      </c>
      <c r="BG66" s="71">
        <v>181.60616860733583</v>
      </c>
      <c r="BH66" s="71">
        <v>189.88883679030823</v>
      </c>
      <c r="BI66" s="71">
        <v>198.17150497328066</v>
      </c>
      <c r="BJ66" s="71">
        <v>206.45417315625306</v>
      </c>
      <c r="BK66" s="71">
        <v>214.73684133922546</v>
      </c>
      <c r="BL66" s="71">
        <v>223.01950952219789</v>
      </c>
      <c r="BM66" s="71">
        <v>231.30217770517029</v>
      </c>
      <c r="BN66" s="71">
        <v>239.5848458881427</v>
      </c>
      <c r="BO66" s="71">
        <v>247.86751407111512</v>
      </c>
      <c r="BP66" s="71">
        <v>256.15018225408755</v>
      </c>
      <c r="BQ66" s="71">
        <v>264.43285043705993</v>
      </c>
      <c r="BR66" s="71">
        <v>272.71551862003236</v>
      </c>
      <c r="BS66" s="71">
        <v>280.99818680300473</v>
      </c>
      <c r="BT66" s="71">
        <v>289.2808549859771</v>
      </c>
      <c r="BU66" s="71">
        <v>297.56352316894953</v>
      </c>
      <c r="BV66" s="71">
        <v>305.84619135192196</v>
      </c>
      <c r="BW66" s="71">
        <v>314.12885953489433</v>
      </c>
      <c r="BX66" s="71">
        <v>322.41152771786676</v>
      </c>
      <c r="BY66" s="71">
        <v>330.69419590083919</v>
      </c>
      <c r="BZ66" s="71">
        <v>338.97686408381156</v>
      </c>
      <c r="CA66" s="71">
        <v>347.25953226678399</v>
      </c>
      <c r="CB66" s="71">
        <v>355.54220044975636</v>
      </c>
      <c r="CC66" s="71">
        <v>363.82486863272879</v>
      </c>
      <c r="CD66" s="71">
        <v>372.10753681570117</v>
      </c>
      <c r="CE66" s="71">
        <v>380.39020499867365</v>
      </c>
      <c r="CF66" s="71">
        <v>388.67287318164597</v>
      </c>
      <c r="CG66" s="71">
        <v>396.95554136461845</v>
      </c>
      <c r="CH66" s="71">
        <v>405.23820954759083</v>
      </c>
      <c r="CI66" s="71">
        <v>413.52087773056326</v>
      </c>
      <c r="CJ66" s="71">
        <v>421.80354591353563</v>
      </c>
      <c r="CK66" s="71">
        <v>430.08621409650812</v>
      </c>
      <c r="CL66" s="71">
        <v>438.36888227948043</v>
      </c>
      <c r="CM66" s="71">
        <v>446.65155046245292</v>
      </c>
      <c r="CN66" s="71">
        <v>454.93421864542529</v>
      </c>
      <c r="CO66" s="71">
        <v>463.21688682839778</v>
      </c>
      <c r="CP66" s="71">
        <v>471.49955501137009</v>
      </c>
      <c r="CQ66" s="71">
        <v>479.78222319434258</v>
      </c>
      <c r="CR66" s="71">
        <v>488.06489137731495</v>
      </c>
      <c r="CS66" s="71">
        <v>496.34755956028727</v>
      </c>
      <c r="CT66" s="71">
        <v>504.63022774325975</v>
      </c>
      <c r="CU66" s="71">
        <v>512.91289592623207</v>
      </c>
      <c r="CV66" s="71">
        <v>521.19556410920461</v>
      </c>
      <c r="CW66" s="71">
        <v>529.47823229217693</v>
      </c>
      <c r="CX66" s="71">
        <v>537.76090047514936</v>
      </c>
      <c r="CY66" s="71">
        <v>546.04356865812179</v>
      </c>
      <c r="CZ66" s="71">
        <v>554.32623684109421</v>
      </c>
      <c r="DA66" s="71">
        <v>562.60890502406653</v>
      </c>
      <c r="DB66" s="71">
        <v>570.89157320703907</v>
      </c>
      <c r="DC66" s="71">
        <v>579.17424139001139</v>
      </c>
      <c r="DD66" s="71">
        <v>587.45690957298382</v>
      </c>
      <c r="DE66" s="71">
        <v>595.73957775595625</v>
      </c>
      <c r="DF66" s="71">
        <v>604.02224593892868</v>
      </c>
      <c r="DG66" s="71">
        <v>612.30491412190099</v>
      </c>
      <c r="DH66" s="71">
        <v>620.58758230487342</v>
      </c>
      <c r="DI66" s="71">
        <v>628.87025048784585</v>
      </c>
      <c r="DJ66" s="71">
        <v>637.15291867081828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809.28905469054132</v>
      </c>
      <c r="P67" s="71">
        <v>809.28905469054132</v>
      </c>
      <c r="Q67" s="71">
        <v>809.28819353061044</v>
      </c>
      <c r="R67" s="71">
        <v>809.28542189362986</v>
      </c>
      <c r="S67" s="71">
        <v>809.28073727803121</v>
      </c>
      <c r="T67" s="71">
        <v>809.27413968381438</v>
      </c>
      <c r="U67" s="71">
        <v>809.26562911097949</v>
      </c>
      <c r="V67" s="71">
        <v>809.25520555952653</v>
      </c>
      <c r="W67" s="71">
        <v>809.24286902945562</v>
      </c>
      <c r="X67" s="71">
        <v>809.22861952076642</v>
      </c>
      <c r="Y67" s="71">
        <v>809.21245703345926</v>
      </c>
      <c r="Z67" s="71">
        <v>809.19438156753381</v>
      </c>
      <c r="AA67" s="71">
        <v>809.17439312299041</v>
      </c>
      <c r="AB67" s="71">
        <v>809.15249169982883</v>
      </c>
      <c r="AC67" s="71">
        <v>809.12867729804918</v>
      </c>
      <c r="AD67" s="71">
        <v>809.10294991765147</v>
      </c>
      <c r="AE67" s="71">
        <v>809.07530955863569</v>
      </c>
      <c r="AF67" s="71">
        <v>809.04575622100174</v>
      </c>
      <c r="AG67" s="71">
        <v>809.01428990474972</v>
      </c>
      <c r="AH67" s="71">
        <v>808.99722023616812</v>
      </c>
      <c r="AI67" s="71">
        <v>809.07079497970642</v>
      </c>
      <c r="AJ67" s="71">
        <v>809.24469370803217</v>
      </c>
      <c r="AK67" s="71">
        <v>809.51891642114515</v>
      </c>
      <c r="AL67" s="71">
        <v>809.8934631190458</v>
      </c>
      <c r="AM67" s="71">
        <v>810.36833380173391</v>
      </c>
      <c r="AN67" s="71">
        <v>810.94352846920947</v>
      </c>
      <c r="AO67" s="71">
        <v>811.61904712147236</v>
      </c>
      <c r="AP67" s="71">
        <v>812.39488975852271</v>
      </c>
      <c r="AQ67" s="71">
        <v>813.27105638036062</v>
      </c>
      <c r="AR67" s="71">
        <v>814.24754698698598</v>
      </c>
      <c r="AS67" s="71">
        <v>815.32436157839868</v>
      </c>
      <c r="AT67" s="71">
        <v>816.50150015459894</v>
      </c>
      <c r="AU67" s="71">
        <v>817.77896271558666</v>
      </c>
      <c r="AV67" s="71">
        <v>819.15674926136182</v>
      </c>
      <c r="AW67" s="71">
        <v>820.63485979192433</v>
      </c>
      <c r="AX67" s="71">
        <v>822.2132943072744</v>
      </c>
      <c r="AY67" s="71">
        <v>823.89205280741191</v>
      </c>
      <c r="AZ67" s="71">
        <v>825.67113529233677</v>
      </c>
      <c r="BA67" s="71">
        <v>827.55054176204931</v>
      </c>
      <c r="BB67" s="71">
        <v>829.53027221654918</v>
      </c>
      <c r="BC67" s="71">
        <v>831.61032665583639</v>
      </c>
      <c r="BD67" s="71">
        <v>833.79070507991116</v>
      </c>
      <c r="BE67" s="71">
        <v>836.0714074887735</v>
      </c>
      <c r="BF67" s="71">
        <v>838.45243388242307</v>
      </c>
      <c r="BG67" s="71">
        <v>840.93378426086019</v>
      </c>
      <c r="BH67" s="71">
        <v>843.51545862408489</v>
      </c>
      <c r="BI67" s="71">
        <v>846.1974569720968</v>
      </c>
      <c r="BJ67" s="71">
        <v>848.9797793048964</v>
      </c>
      <c r="BK67" s="71">
        <v>851.86242562248322</v>
      </c>
      <c r="BL67" s="71">
        <v>854.84539592485771</v>
      </c>
      <c r="BM67" s="71">
        <v>857.92869021201943</v>
      </c>
      <c r="BN67" s="71">
        <v>861.11230848396883</v>
      </c>
      <c r="BO67" s="71">
        <v>864.39625074070557</v>
      </c>
      <c r="BP67" s="71">
        <v>867.78051698222976</v>
      </c>
      <c r="BQ67" s="71">
        <v>871.26510720854151</v>
      </c>
      <c r="BR67" s="71">
        <v>874.8500214196406</v>
      </c>
      <c r="BS67" s="71">
        <v>878.53525961552714</v>
      </c>
      <c r="BT67" s="71">
        <v>882.32082179620113</v>
      </c>
      <c r="BU67" s="71">
        <v>886.20670796166269</v>
      </c>
      <c r="BV67" s="71">
        <v>890.19291811191158</v>
      </c>
      <c r="BW67" s="71">
        <v>894.27945224694793</v>
      </c>
      <c r="BX67" s="71">
        <v>898.46631036677172</v>
      </c>
      <c r="BY67" s="71">
        <v>902.75349247138308</v>
      </c>
      <c r="BZ67" s="71">
        <v>907.14099856078178</v>
      </c>
      <c r="CA67" s="71">
        <v>911.62882863496804</v>
      </c>
      <c r="CB67" s="71">
        <v>916.21698269394165</v>
      </c>
      <c r="CC67" s="71">
        <v>920.90546073770292</v>
      </c>
      <c r="CD67" s="71">
        <v>925.69426276625131</v>
      </c>
      <c r="CE67" s="71">
        <v>930.58338877958749</v>
      </c>
      <c r="CF67" s="71">
        <v>935.5728387777109</v>
      </c>
      <c r="CG67" s="71">
        <v>940.66261276062187</v>
      </c>
      <c r="CH67" s="71">
        <v>945.85271072832018</v>
      </c>
      <c r="CI67" s="71">
        <v>951.14313268080605</v>
      </c>
      <c r="CJ67" s="71">
        <v>956.53387861807926</v>
      </c>
      <c r="CK67" s="71">
        <v>962.02494854014003</v>
      </c>
      <c r="CL67" s="71">
        <v>967.61634244698826</v>
      </c>
      <c r="CM67" s="71">
        <v>973.30806033862393</v>
      </c>
      <c r="CN67" s="71">
        <v>979.10010221504695</v>
      </c>
      <c r="CO67" s="71">
        <v>984.99246807625764</v>
      </c>
      <c r="CP67" s="71">
        <v>990.98515792225555</v>
      </c>
      <c r="CQ67" s="71">
        <v>997.07817175304115</v>
      </c>
      <c r="CR67" s="71">
        <v>1003.271509568614</v>
      </c>
      <c r="CS67" s="71">
        <v>1009.5651713689742</v>
      </c>
      <c r="CT67" s="71">
        <v>1015.9591571541222</v>
      </c>
      <c r="CU67" s="71">
        <v>1022.4534669240575</v>
      </c>
      <c r="CV67" s="71">
        <v>1029.0481006787802</v>
      </c>
      <c r="CW67" s="71">
        <v>1035.7430584182903</v>
      </c>
      <c r="CX67" s="71">
        <v>1042.5383401425879</v>
      </c>
      <c r="CY67" s="71">
        <v>1049.4339458516731</v>
      </c>
      <c r="CZ67" s="71">
        <v>1056.4298755455457</v>
      </c>
      <c r="DA67" s="71">
        <v>1063.5261292242055</v>
      </c>
      <c r="DB67" s="71">
        <v>1070.7227068876532</v>
      </c>
      <c r="DC67" s="71">
        <v>1078.0196085358882</v>
      </c>
      <c r="DD67" s="71">
        <v>1085.4168341689106</v>
      </c>
      <c r="DE67" s="71">
        <v>1092.9143837867202</v>
      </c>
      <c r="DF67" s="71">
        <v>1100.5122573893175</v>
      </c>
      <c r="DG67" s="71">
        <v>1108.2104549767021</v>
      </c>
      <c r="DH67" s="71">
        <v>1116.0089765488742</v>
      </c>
      <c r="DI67" s="71">
        <v>1123.9078221058339</v>
      </c>
      <c r="DJ67" s="71">
        <v>1131.9069916475812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-15.637649007673202</v>
      </c>
      <c r="P68" s="71">
        <v>-15.637649007673202</v>
      </c>
      <c r="Q68" s="71">
        <v>-15.605269083502504</v>
      </c>
      <c r="R68" s="71">
        <v>-15.50105453283393</v>
      </c>
      <c r="S68" s="71">
        <v>-15.324911295789082</v>
      </c>
      <c r="T68" s="71">
        <v>-15.076839372367964</v>
      </c>
      <c r="U68" s="71">
        <v>-14.756838762570576</v>
      </c>
      <c r="V68" s="71">
        <v>-14.364909466396917</v>
      </c>
      <c r="W68" s="71">
        <v>-13.901051483846986</v>
      </c>
      <c r="X68" s="71">
        <v>-13.365264814920785</v>
      </c>
      <c r="Y68" s="71">
        <v>-12.757549459618311</v>
      </c>
      <c r="Z68" s="71">
        <v>-12.077905417939572</v>
      </c>
      <c r="AA68" s="71">
        <v>-11.326332689884559</v>
      </c>
      <c r="AB68" s="71">
        <v>-10.502831275453273</v>
      </c>
      <c r="AC68" s="71">
        <v>-9.6074011746457177</v>
      </c>
      <c r="AD68" s="71">
        <v>-8.640042387461893</v>
      </c>
      <c r="AE68" s="71">
        <v>-7.6007549139017963</v>
      </c>
      <c r="AF68" s="71">
        <v>-6.4895387539654275</v>
      </c>
      <c r="AG68" s="71">
        <v>-5.3063939076527893</v>
      </c>
      <c r="AH68" s="71">
        <v>-4.033817762617554</v>
      </c>
      <c r="AI68" s="71">
        <v>-2.5899853254584615</v>
      </c>
      <c r="AJ68" s="71">
        <v>-0.96450900021946651</v>
      </c>
      <c r="AK68" s="71">
        <v>0.84261121309944143</v>
      </c>
      <c r="AL68" s="71">
        <v>2.8313753144982572</v>
      </c>
      <c r="AM68" s="71">
        <v>5.0017833039769801</v>
      </c>
      <c r="AN68" s="71">
        <v>7.3538351815356116</v>
      </c>
      <c r="AO68" s="71">
        <v>9.8875309471741488</v>
      </c>
      <c r="AP68" s="71">
        <v>12.602870600892595</v>
      </c>
      <c r="AQ68" s="71">
        <v>15.499854142690941</v>
      </c>
      <c r="AR68" s="71">
        <v>18.578481572569203</v>
      </c>
      <c r="AS68" s="71">
        <v>21.838752890527374</v>
      </c>
      <c r="AT68" s="71">
        <v>25.280668096565449</v>
      </c>
      <c r="AU68" s="71">
        <v>28.904227190683432</v>
      </c>
      <c r="AV68" s="71">
        <v>32.709430172881326</v>
      </c>
      <c r="AW68" s="71">
        <v>36.696277043159128</v>
      </c>
      <c r="AX68" s="71">
        <v>40.864767801516834</v>
      </c>
      <c r="AY68" s="71">
        <v>45.214902447954451</v>
      </c>
      <c r="AZ68" s="71">
        <v>49.746680982471972</v>
      </c>
      <c r="BA68" s="71">
        <v>54.460103405069404</v>
      </c>
      <c r="BB68" s="71">
        <v>59.35516971574674</v>
      </c>
      <c r="BC68" s="71">
        <v>64.43187991450398</v>
      </c>
      <c r="BD68" s="71">
        <v>69.690234001341111</v>
      </c>
      <c r="BE68" s="71">
        <v>75.130231976258173</v>
      </c>
      <c r="BF68" s="71">
        <v>80.75187383925514</v>
      </c>
      <c r="BG68" s="71">
        <v>86.555159590332025</v>
      </c>
      <c r="BH68" s="71">
        <v>92.5400892294888</v>
      </c>
      <c r="BI68" s="71">
        <v>98.706662756725493</v>
      </c>
      <c r="BJ68" s="71">
        <v>105.05488017204209</v>
      </c>
      <c r="BK68" s="71">
        <v>111.58474147543861</v>
      </c>
      <c r="BL68" s="71">
        <v>118.29624666691501</v>
      </c>
      <c r="BM68" s="71">
        <v>125.18939574647133</v>
      </c>
      <c r="BN68" s="71">
        <v>132.26418871410758</v>
      </c>
      <c r="BO68" s="71">
        <v>139.52062556982369</v>
      </c>
      <c r="BP68" s="71">
        <v>146.95870631361976</v>
      </c>
      <c r="BQ68" s="71">
        <v>154.57843094549571</v>
      </c>
      <c r="BR68" s="71">
        <v>162.37979946545155</v>
      </c>
      <c r="BS68" s="71">
        <v>170.36281187348726</v>
      </c>
      <c r="BT68" s="71">
        <v>178.52746816960294</v>
      </c>
      <c r="BU68" s="71">
        <v>186.87376835379851</v>
      </c>
      <c r="BV68" s="71">
        <v>195.401712426074</v>
      </c>
      <c r="BW68" s="71">
        <v>204.11130038642943</v>
      </c>
      <c r="BX68" s="71">
        <v>213.00253223486476</v>
      </c>
      <c r="BY68" s="71">
        <v>222.07540797137997</v>
      </c>
      <c r="BZ68" s="71">
        <v>231.32992759597508</v>
      </c>
      <c r="CA68" s="71">
        <v>240.7660911086501</v>
      </c>
      <c r="CB68" s="71">
        <v>250.38389850940496</v>
      </c>
      <c r="CC68" s="71">
        <v>260.18334979823987</v>
      </c>
      <c r="CD68" s="71">
        <v>270.16444497515454</v>
      </c>
      <c r="CE68" s="71">
        <v>280.32718404014929</v>
      </c>
      <c r="CF68" s="71">
        <v>290.67156699322379</v>
      </c>
      <c r="CG68" s="71">
        <v>301.19759383437832</v>
      </c>
      <c r="CH68" s="71">
        <v>311.90526456361266</v>
      </c>
      <c r="CI68" s="71">
        <v>322.79457918092703</v>
      </c>
      <c r="CJ68" s="71">
        <v>333.86553768632115</v>
      </c>
      <c r="CK68" s="71">
        <v>345.1181400797953</v>
      </c>
      <c r="CL68" s="71">
        <v>356.55238636134931</v>
      </c>
      <c r="CM68" s="71">
        <v>368.16827653098323</v>
      </c>
      <c r="CN68" s="71">
        <v>379.96581058869702</v>
      </c>
      <c r="CO68" s="71">
        <v>391.94498853449085</v>
      </c>
      <c r="CP68" s="71">
        <v>404.10581036836442</v>
      </c>
      <c r="CQ68" s="71">
        <v>416.44827609031802</v>
      </c>
      <c r="CR68" s="71">
        <v>428.97238570035142</v>
      </c>
      <c r="CS68" s="71">
        <v>441.67813919846469</v>
      </c>
      <c r="CT68" s="71">
        <v>454.56553658465805</v>
      </c>
      <c r="CU68" s="71">
        <v>467.63457785893115</v>
      </c>
      <c r="CV68" s="71">
        <v>480.88526302128435</v>
      </c>
      <c r="CW68" s="71">
        <v>494.31759207171723</v>
      </c>
      <c r="CX68" s="71">
        <v>507.93156501023026</v>
      </c>
      <c r="CY68" s="71">
        <v>521.72718183682287</v>
      </c>
      <c r="CZ68" s="71">
        <v>535.70444255149573</v>
      </c>
      <c r="DA68" s="71">
        <v>549.86334715424823</v>
      </c>
      <c r="DB68" s="71">
        <v>564.20389564508093</v>
      </c>
      <c r="DC68" s="71">
        <v>578.72608802399316</v>
      </c>
      <c r="DD68" s="71">
        <v>593.4299242909857</v>
      </c>
      <c r="DE68" s="71">
        <v>608.31540444605787</v>
      </c>
      <c r="DF68" s="71">
        <v>623.38252848921013</v>
      </c>
      <c r="DG68" s="71">
        <v>638.63129642044203</v>
      </c>
      <c r="DH68" s="71">
        <v>654.0617082397539</v>
      </c>
      <c r="DI68" s="71">
        <v>669.67376394714597</v>
      </c>
      <c r="DJ68" s="71">
        <v>685.46746354261779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606.81230349601742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37.961876309288783</v>
      </c>
      <c r="K85" s="79">
        <v>812.11766492893867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-174.12498232709532</v>
      </c>
      <c r="K86" s="79">
        <v>809.28905469054132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809543.18011203839</v>
      </c>
      <c r="J89" s="80">
        <v>4.0060038297516982E-2</v>
      </c>
      <c r="K89" s="80">
        <v>7.3119674874849437E-7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808866.32596088713</v>
      </c>
      <c r="J90" s="80">
        <v>-4.8554632885486346E-3</v>
      </c>
      <c r="K90" s="80">
        <v>-1.3942465990973092E-8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809289.05469054135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-4.7690883322727506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606.81230349601742</v>
      </c>
      <c r="K114" s="79">
        <v>628.4988629035912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37.961876309288783</v>
      </c>
      <c r="K115" s="79">
        <v>11.651712131079346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-174.12498232709532</v>
      </c>
      <c r="K116" s="79">
        <v>-15.637649007673202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0.98346719069564759</v>
      </c>
      <c r="J119" s="80">
        <v>2.3076806857863028E-4</v>
      </c>
      <c r="K119" s="80">
        <v>1.323885017879329E-9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0.25710377727028833</v>
      </c>
      <c r="J120" s="80">
        <v>1.8256717183850226E-4</v>
      </c>
      <c r="K120" s="80">
        <v>5.242417526726527E-10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-15.637649007673202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1.0737061480634029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2.8607432303034095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609.55648707118439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19.40328428753568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1383.7114969891841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0.24352960590310097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23608.174502618465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1.0586115413894333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573.21527280873318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-143.98598232709531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-143.98598232709531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4.5780100020730317E-2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1069.6255108045418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9.3490664713842563E-4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143.97329049349645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6945.7327575990348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90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7247.183012933614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-4.0150393235447585E-3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0.1509669274709001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K114" sqref="K11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101</v>
      </c>
      <c r="C13" s="164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100</v>
      </c>
      <c r="C14" s="164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99</v>
      </c>
      <c r="C15" s="164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98</v>
      </c>
      <c r="C16" s="164"/>
      <c r="D16" s="163" t="str">
        <f>Title</f>
        <v>Flange Segment Analytical Model for 120°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97</v>
      </c>
      <c r="C17" s="164"/>
      <c r="D17" s="163" t="str">
        <f>Gap30deg!D17</f>
        <v>0.10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96</v>
      </c>
      <c r="C18" s="164"/>
      <c r="D18" s="174">
        <f>Gap30deg!D18</f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3.0060257869038054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4817.1087355043501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-167.68503684484588</v>
      </c>
      <c r="P66" s="71">
        <v>-159.53531524684112</v>
      </c>
      <c r="Q66" s="71">
        <v>-151.38559364883633</v>
      </c>
      <c r="R66" s="71">
        <v>-143.23587205083157</v>
      </c>
      <c r="S66" s="71">
        <v>-135.08615045282679</v>
      </c>
      <c r="T66" s="71">
        <v>-126.93642885482201</v>
      </c>
      <c r="U66" s="71">
        <v>-118.78670725681722</v>
      </c>
      <c r="V66" s="71">
        <v>-110.63698565881245</v>
      </c>
      <c r="W66" s="71">
        <v>-102.48726406080768</v>
      </c>
      <c r="X66" s="71">
        <v>-94.337542462802901</v>
      </c>
      <c r="Y66" s="71">
        <v>-86.187820864798127</v>
      </c>
      <c r="Z66" s="71">
        <v>-78.038099266793353</v>
      </c>
      <c r="AA66" s="71">
        <v>-69.888377668788564</v>
      </c>
      <c r="AB66" s="71">
        <v>-61.73865607078379</v>
      </c>
      <c r="AC66" s="71">
        <v>-53.588934472779016</v>
      </c>
      <c r="AD66" s="71">
        <v>-45.439212874774242</v>
      </c>
      <c r="AE66" s="71">
        <v>-37.289491276769461</v>
      </c>
      <c r="AF66" s="71">
        <v>-29.139769678764686</v>
      </c>
      <c r="AG66" s="71">
        <v>-20.990048080759909</v>
      </c>
      <c r="AH66" s="71">
        <v>-12.840326482755133</v>
      </c>
      <c r="AI66" s="71">
        <v>-4.6906048847503552</v>
      </c>
      <c r="AJ66" s="71">
        <v>3.4591167132544216</v>
      </c>
      <c r="AK66" s="71">
        <v>11.608838311259198</v>
      </c>
      <c r="AL66" s="71">
        <v>19.758559909263976</v>
      </c>
      <c r="AM66" s="71">
        <v>27.90828150726875</v>
      </c>
      <c r="AN66" s="71">
        <v>36.058003105273528</v>
      </c>
      <c r="AO66" s="71">
        <v>44.207724703278302</v>
      </c>
      <c r="AP66" s="71">
        <v>52.357446301283083</v>
      </c>
      <c r="AQ66" s="71">
        <v>60.507167899287857</v>
      </c>
      <c r="AR66" s="71">
        <v>68.656889497292639</v>
      </c>
      <c r="AS66" s="71">
        <v>76.806611095297413</v>
      </c>
      <c r="AT66" s="71">
        <v>84.956332693302187</v>
      </c>
      <c r="AU66" s="71">
        <v>93.106054291306961</v>
      </c>
      <c r="AV66" s="71">
        <v>101.25577588931178</v>
      </c>
      <c r="AW66" s="71">
        <v>109.40549748731652</v>
      </c>
      <c r="AX66" s="71">
        <v>117.55521908532127</v>
      </c>
      <c r="AY66" s="71">
        <v>125.70494068332607</v>
      </c>
      <c r="AZ66" s="71">
        <v>133.85466228133089</v>
      </c>
      <c r="BA66" s="71">
        <v>142.00438387933562</v>
      </c>
      <c r="BB66" s="71">
        <v>150.15410547734038</v>
      </c>
      <c r="BC66" s="71">
        <v>158.30382707534517</v>
      </c>
      <c r="BD66" s="71">
        <v>166.45354867334999</v>
      </c>
      <c r="BE66" s="71">
        <v>174.60327027135475</v>
      </c>
      <c r="BF66" s="71">
        <v>182.75299186935948</v>
      </c>
      <c r="BG66" s="71">
        <v>190.90271346736429</v>
      </c>
      <c r="BH66" s="71">
        <v>199.05243506536908</v>
      </c>
      <c r="BI66" s="71">
        <v>207.20215666337384</v>
      </c>
      <c r="BJ66" s="71">
        <v>215.3518782613786</v>
      </c>
      <c r="BK66" s="71">
        <v>223.50159985938339</v>
      </c>
      <c r="BL66" s="71">
        <v>231.65132145738821</v>
      </c>
      <c r="BM66" s="71">
        <v>239.80104305539294</v>
      </c>
      <c r="BN66" s="71">
        <v>247.9507646533977</v>
      </c>
      <c r="BO66" s="71">
        <v>256.10048625140251</v>
      </c>
      <c r="BP66" s="71">
        <v>264.25020784940733</v>
      </c>
      <c r="BQ66" s="71">
        <v>272.39992944741203</v>
      </c>
      <c r="BR66" s="71">
        <v>280.54965104541685</v>
      </c>
      <c r="BS66" s="71">
        <v>288.69937264342161</v>
      </c>
      <c r="BT66" s="71">
        <v>296.84909424142643</v>
      </c>
      <c r="BU66" s="71">
        <v>304.99881583943113</v>
      </c>
      <c r="BV66" s="71">
        <v>313.14853743743595</v>
      </c>
      <c r="BW66" s="71">
        <v>321.29825903544076</v>
      </c>
      <c r="BX66" s="71">
        <v>329.44798063344552</v>
      </c>
      <c r="BY66" s="71">
        <v>337.59770223145023</v>
      </c>
      <c r="BZ66" s="71">
        <v>345.74742382945504</v>
      </c>
      <c r="CA66" s="71">
        <v>353.89714542745986</v>
      </c>
      <c r="CB66" s="71">
        <v>362.04686702546468</v>
      </c>
      <c r="CC66" s="71">
        <v>370.19658862346944</v>
      </c>
      <c r="CD66" s="71">
        <v>378.34631022147414</v>
      </c>
      <c r="CE66" s="71">
        <v>386.49603181947896</v>
      </c>
      <c r="CF66" s="71">
        <v>394.64575341748377</v>
      </c>
      <c r="CG66" s="71">
        <v>402.79547501548848</v>
      </c>
      <c r="CH66" s="71">
        <v>410.94519661349324</v>
      </c>
      <c r="CI66" s="71">
        <v>419.09491821149805</v>
      </c>
      <c r="CJ66" s="71">
        <v>427.24463980950287</v>
      </c>
      <c r="CK66" s="71">
        <v>435.39436140750769</v>
      </c>
      <c r="CL66" s="71">
        <v>443.54408300551239</v>
      </c>
      <c r="CM66" s="71">
        <v>451.69380460351715</v>
      </c>
      <c r="CN66" s="71">
        <v>459.84352620152197</v>
      </c>
      <c r="CO66" s="71">
        <v>467.99324779952667</v>
      </c>
      <c r="CP66" s="71">
        <v>476.14296939753149</v>
      </c>
      <c r="CQ66" s="71">
        <v>484.2926909955363</v>
      </c>
      <c r="CR66" s="71">
        <v>492.44241259354106</v>
      </c>
      <c r="CS66" s="71">
        <v>500.59213419154588</v>
      </c>
      <c r="CT66" s="71">
        <v>508.74185578955058</v>
      </c>
      <c r="CU66" s="71">
        <v>516.89157738755534</v>
      </c>
      <c r="CV66" s="71">
        <v>525.04129898556016</v>
      </c>
      <c r="CW66" s="71">
        <v>533.19102058356486</v>
      </c>
      <c r="CX66" s="71">
        <v>541.34074218156968</v>
      </c>
      <c r="CY66" s="71">
        <v>549.4904637795745</v>
      </c>
      <c r="CZ66" s="71">
        <v>557.64018537757931</v>
      </c>
      <c r="DA66" s="71">
        <v>565.78990697558413</v>
      </c>
      <c r="DB66" s="71">
        <v>573.93962857358883</v>
      </c>
      <c r="DC66" s="71">
        <v>582.08935017159365</v>
      </c>
      <c r="DD66" s="71">
        <v>590.23907176959835</v>
      </c>
      <c r="DE66" s="71">
        <v>598.38879336760306</v>
      </c>
      <c r="DF66" s="71">
        <v>606.53851496560787</v>
      </c>
      <c r="DG66" s="71">
        <v>614.68823656361269</v>
      </c>
      <c r="DH66" s="71">
        <v>622.83795816161751</v>
      </c>
      <c r="DI66" s="71">
        <v>630.98767975962232</v>
      </c>
      <c r="DJ66" s="71">
        <v>639.13740135762703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809.52799535644556</v>
      </c>
      <c r="P67" s="71">
        <v>809.52799450300529</v>
      </c>
      <c r="Q67" s="71">
        <v>809.52582091637373</v>
      </c>
      <c r="R67" s="71">
        <v>809.51946905660395</v>
      </c>
      <c r="S67" s="71">
        <v>809.50893892369595</v>
      </c>
      <c r="T67" s="71">
        <v>809.49423051764973</v>
      </c>
      <c r="U67" s="71">
        <v>809.47534383846516</v>
      </c>
      <c r="V67" s="71">
        <v>809.45227888614238</v>
      </c>
      <c r="W67" s="71">
        <v>809.42503566068149</v>
      </c>
      <c r="X67" s="71">
        <v>809.39361416208203</v>
      </c>
      <c r="Y67" s="71">
        <v>809.35801439034458</v>
      </c>
      <c r="Z67" s="71">
        <v>809.31823634546879</v>
      </c>
      <c r="AA67" s="71">
        <v>809.27428002745467</v>
      </c>
      <c r="AB67" s="71">
        <v>809.22614543630255</v>
      </c>
      <c r="AC67" s="71">
        <v>809.17383257201197</v>
      </c>
      <c r="AD67" s="71">
        <v>809.11734143458318</v>
      </c>
      <c r="AE67" s="71">
        <v>809.05667202401617</v>
      </c>
      <c r="AF67" s="71">
        <v>808.99258798655455</v>
      </c>
      <c r="AG67" s="71">
        <v>808.98681661932653</v>
      </c>
      <c r="AH67" s="71">
        <v>809.07846296589594</v>
      </c>
      <c r="AI67" s="71">
        <v>809.26752702626266</v>
      </c>
      <c r="AJ67" s="71">
        <v>809.5540088004268</v>
      </c>
      <c r="AK67" s="71">
        <v>809.93790828838848</v>
      </c>
      <c r="AL67" s="71">
        <v>810.4192254901476</v>
      </c>
      <c r="AM67" s="71">
        <v>810.99796040570413</v>
      </c>
      <c r="AN67" s="71">
        <v>811.67411303505799</v>
      </c>
      <c r="AO67" s="71">
        <v>812.44768337820938</v>
      </c>
      <c r="AP67" s="71">
        <v>813.31867143515808</v>
      </c>
      <c r="AQ67" s="71">
        <v>814.28707720590444</v>
      </c>
      <c r="AR67" s="71">
        <v>815.352900690448</v>
      </c>
      <c r="AS67" s="71">
        <v>816.51614188878909</v>
      </c>
      <c r="AT67" s="71">
        <v>817.77680080092762</v>
      </c>
      <c r="AU67" s="71">
        <v>819.13487742686357</v>
      </c>
      <c r="AV67" s="71">
        <v>820.59037176659695</v>
      </c>
      <c r="AW67" s="71">
        <v>822.14328382012775</v>
      </c>
      <c r="AX67" s="71">
        <v>823.79361358745598</v>
      </c>
      <c r="AY67" s="71">
        <v>825.54136106858164</v>
      </c>
      <c r="AZ67" s="71">
        <v>827.38652626350461</v>
      </c>
      <c r="BA67" s="71">
        <v>829.32910917222512</v>
      </c>
      <c r="BB67" s="71">
        <v>831.36910979474317</v>
      </c>
      <c r="BC67" s="71">
        <v>833.50652813105842</v>
      </c>
      <c r="BD67" s="71">
        <v>835.74136418117132</v>
      </c>
      <c r="BE67" s="71">
        <v>838.07361794508154</v>
      </c>
      <c r="BF67" s="71">
        <v>840.50328942278907</v>
      </c>
      <c r="BG67" s="71">
        <v>843.03037861429425</v>
      </c>
      <c r="BH67" s="71">
        <v>845.65488551959675</v>
      </c>
      <c r="BI67" s="71">
        <v>848.37681013869667</v>
      </c>
      <c r="BJ67" s="71">
        <v>851.19615247159402</v>
      </c>
      <c r="BK67" s="71">
        <v>854.11291251828891</v>
      </c>
      <c r="BL67" s="71">
        <v>857.12709027878111</v>
      </c>
      <c r="BM67" s="71">
        <v>860.23868575307085</v>
      </c>
      <c r="BN67" s="71">
        <v>863.44769894115791</v>
      </c>
      <c r="BO67" s="71">
        <v>866.75412984304251</v>
      </c>
      <c r="BP67" s="71">
        <v>870.15797845872441</v>
      </c>
      <c r="BQ67" s="71">
        <v>873.65924478820375</v>
      </c>
      <c r="BR67" s="71">
        <v>877.25792883148051</v>
      </c>
      <c r="BS67" s="71">
        <v>880.95403058855482</v>
      </c>
      <c r="BT67" s="71">
        <v>884.74755005942654</v>
      </c>
      <c r="BU67" s="71">
        <v>888.63848724409559</v>
      </c>
      <c r="BV67" s="71">
        <v>892.62684214256217</v>
      </c>
      <c r="BW67" s="71">
        <v>896.71261475482606</v>
      </c>
      <c r="BX67" s="71">
        <v>900.8958050808875</v>
      </c>
      <c r="BY67" s="71">
        <v>905.17641312074625</v>
      </c>
      <c r="BZ67" s="71">
        <v>909.55443887440254</v>
      </c>
      <c r="CA67" s="71">
        <v>914.02988234185625</v>
      </c>
      <c r="CB67" s="71">
        <v>918.60274352310739</v>
      </c>
      <c r="CC67" s="71">
        <v>923.27302241815596</v>
      </c>
      <c r="CD67" s="71">
        <v>928.04071902700184</v>
      </c>
      <c r="CE67" s="71">
        <v>932.90583334964526</v>
      </c>
      <c r="CF67" s="71">
        <v>937.868365386086</v>
      </c>
      <c r="CG67" s="71">
        <v>942.92831513632427</v>
      </c>
      <c r="CH67" s="71">
        <v>948.08568260035997</v>
      </c>
      <c r="CI67" s="71">
        <v>953.3404677781931</v>
      </c>
      <c r="CJ67" s="71">
        <v>958.69267066982366</v>
      </c>
      <c r="CK67" s="71">
        <v>964.14229127525164</v>
      </c>
      <c r="CL67" s="71">
        <v>969.68932959447704</v>
      </c>
      <c r="CM67" s="71">
        <v>975.33378562749976</v>
      </c>
      <c r="CN67" s="71">
        <v>981.07565937432014</v>
      </c>
      <c r="CO67" s="71">
        <v>986.91495083493771</v>
      </c>
      <c r="CP67" s="71">
        <v>992.85166000935294</v>
      </c>
      <c r="CQ67" s="71">
        <v>998.88578689756548</v>
      </c>
      <c r="CR67" s="71">
        <v>1005.0173314995754</v>
      </c>
      <c r="CS67" s="71">
        <v>1011.2462938153828</v>
      </c>
      <c r="CT67" s="71">
        <v>1017.5726738449877</v>
      </c>
      <c r="CU67" s="71">
        <v>1023.9964715883899</v>
      </c>
      <c r="CV67" s="71">
        <v>1030.5176870455896</v>
      </c>
      <c r="CW67" s="71">
        <v>1037.1363202165867</v>
      </c>
      <c r="CX67" s="71">
        <v>1043.8523711013813</v>
      </c>
      <c r="CY67" s="71">
        <v>1050.6658396999733</v>
      </c>
      <c r="CZ67" s="71">
        <v>1057.5767260123625</v>
      </c>
      <c r="DA67" s="71">
        <v>1064.5850300385496</v>
      </c>
      <c r="DB67" s="71">
        <v>1071.6907517785337</v>
      </c>
      <c r="DC67" s="71">
        <v>1078.8938912323154</v>
      </c>
      <c r="DD67" s="71">
        <v>1086.1944483998946</v>
      </c>
      <c r="DE67" s="71">
        <v>1093.5924232812711</v>
      </c>
      <c r="DF67" s="71">
        <v>1101.0878158764453</v>
      </c>
      <c r="DG67" s="71">
        <v>1108.6806261854167</v>
      </c>
      <c r="DH67" s="71">
        <v>1116.3708542081854</v>
      </c>
      <c r="DI67" s="71">
        <v>1124.1584999447518</v>
      </c>
      <c r="DJ67" s="71">
        <v>1132.0435633951156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-14.393915428857703</v>
      </c>
      <c r="P68" s="71">
        <v>-14.393900040946384</v>
      </c>
      <c r="Q68" s="71">
        <v>-14.354709297494292</v>
      </c>
      <c r="R68" s="71">
        <v>-14.240182412266218</v>
      </c>
      <c r="S68" s="71">
        <v>-14.050319385262165</v>
      </c>
      <c r="T68" s="71">
        <v>-13.785120216482129</v>
      </c>
      <c r="U68" s="71">
        <v>-13.444584905926114</v>
      </c>
      <c r="V68" s="71">
        <v>-13.028713453594117</v>
      </c>
      <c r="W68" s="71">
        <v>-12.537505859486142</v>
      </c>
      <c r="X68" s="71">
        <v>-11.970962123602183</v>
      </c>
      <c r="Y68" s="71">
        <v>-11.329082245942244</v>
      </c>
      <c r="Z68" s="71">
        <v>-10.611866226506324</v>
      </c>
      <c r="AA68" s="71">
        <v>-9.8193140652944244</v>
      </c>
      <c r="AB68" s="71">
        <v>-8.9514257623065419</v>
      </c>
      <c r="AC68" s="71">
        <v>-8.0082013175426798</v>
      </c>
      <c r="AD68" s="71">
        <v>-6.9896407310028366</v>
      </c>
      <c r="AE68" s="71">
        <v>-5.8957440026870138</v>
      </c>
      <c r="AF68" s="71">
        <v>-4.725751622351785</v>
      </c>
      <c r="AG68" s="71">
        <v>-3.4182706153598295</v>
      </c>
      <c r="AH68" s="71">
        <v>-1.9344077357826683</v>
      </c>
      <c r="AI68" s="71">
        <v>-0.274162983620302</v>
      </c>
      <c r="AJ68" s="71">
        <v>1.5624636411272703</v>
      </c>
      <c r="AK68" s="71">
        <v>3.5754721384600483</v>
      </c>
      <c r="AL68" s="71">
        <v>5.7648625083780312</v>
      </c>
      <c r="AM68" s="71">
        <v>8.1306347508812209</v>
      </c>
      <c r="AN68" s="71">
        <v>10.672788865969617</v>
      </c>
      <c r="AO68" s="71">
        <v>13.391324853643216</v>
      </c>
      <c r="AP68" s="71">
        <v>16.286242713902023</v>
      </c>
      <c r="AQ68" s="71">
        <v>19.357542446746034</v>
      </c>
      <c r="AR68" s="71">
        <v>22.605224052175252</v>
      </c>
      <c r="AS68" s="71">
        <v>26.029287530189677</v>
      </c>
      <c r="AT68" s="71">
        <v>29.629732880789302</v>
      </c>
      <c r="AU68" s="71">
        <v>33.406560103974137</v>
      </c>
      <c r="AV68" s="71">
        <v>37.3597691997442</v>
      </c>
      <c r="AW68" s="71">
        <v>41.489360168099424</v>
      </c>
      <c r="AX68" s="71">
        <v>45.795333009039865</v>
      </c>
      <c r="AY68" s="71">
        <v>50.277687722565531</v>
      </c>
      <c r="AZ68" s="71">
        <v>54.936424308676422</v>
      </c>
      <c r="BA68" s="71">
        <v>59.771542767372473</v>
      </c>
      <c r="BB68" s="71">
        <v>64.783043098653735</v>
      </c>
      <c r="BC68" s="71">
        <v>69.970925302520229</v>
      </c>
      <c r="BD68" s="71">
        <v>75.335189378971933</v>
      </c>
      <c r="BE68" s="71">
        <v>80.875835328008804</v>
      </c>
      <c r="BF68" s="71">
        <v>86.592863149630887</v>
      </c>
      <c r="BG68" s="71">
        <v>92.486272843838208</v>
      </c>
      <c r="BH68" s="71">
        <v>98.556064410630725</v>
      </c>
      <c r="BI68" s="71">
        <v>104.80223785000842</v>
      </c>
      <c r="BJ68" s="71">
        <v>111.22479316197132</v>
      </c>
      <c r="BK68" s="71">
        <v>117.82373034651948</v>
      </c>
      <c r="BL68" s="71">
        <v>124.59904940365284</v>
      </c>
      <c r="BM68" s="71">
        <v>131.55075033337133</v>
      </c>
      <c r="BN68" s="71">
        <v>138.67883313567506</v>
      </c>
      <c r="BO68" s="71">
        <v>145.98329781056404</v>
      </c>
      <c r="BP68" s="71">
        <v>153.46414435803825</v>
      </c>
      <c r="BQ68" s="71">
        <v>161.12137277809751</v>
      </c>
      <c r="BR68" s="71">
        <v>168.95498307074212</v>
      </c>
      <c r="BS68" s="71">
        <v>176.96497523597193</v>
      </c>
      <c r="BT68" s="71">
        <v>185.15134927378691</v>
      </c>
      <c r="BU68" s="71">
        <v>193.51410518418703</v>
      </c>
      <c r="BV68" s="71">
        <v>202.05324296717242</v>
      </c>
      <c r="BW68" s="71">
        <v>210.76876262274305</v>
      </c>
      <c r="BX68" s="71">
        <v>219.66066415089892</v>
      </c>
      <c r="BY68" s="71">
        <v>228.72894755163981</v>
      </c>
      <c r="BZ68" s="71">
        <v>237.97361282496604</v>
      </c>
      <c r="CA68" s="71">
        <v>247.39465997087748</v>
      </c>
      <c r="CB68" s="71">
        <v>256.99208898937422</v>
      </c>
      <c r="CC68" s="71">
        <v>266.76589988045606</v>
      </c>
      <c r="CD68" s="71">
        <v>276.71609264412302</v>
      </c>
      <c r="CE68" s="71">
        <v>286.84266728037528</v>
      </c>
      <c r="CF68" s="71">
        <v>297.14562378921272</v>
      </c>
      <c r="CG68" s="71">
        <v>307.62496217063529</v>
      </c>
      <c r="CH68" s="71">
        <v>318.2806824246432</v>
      </c>
      <c r="CI68" s="71">
        <v>329.1127845512363</v>
      </c>
      <c r="CJ68" s="71">
        <v>340.12126855041458</v>
      </c>
      <c r="CK68" s="71">
        <v>351.3061344221781</v>
      </c>
      <c r="CL68" s="71">
        <v>362.66738216652664</v>
      </c>
      <c r="CM68" s="71">
        <v>374.20501178346058</v>
      </c>
      <c r="CN68" s="71">
        <v>385.91902327297976</v>
      </c>
      <c r="CO68" s="71">
        <v>397.80941663508389</v>
      </c>
      <c r="CP68" s="71">
        <v>409.87619186977349</v>
      </c>
      <c r="CQ68" s="71">
        <v>422.11934897704822</v>
      </c>
      <c r="CR68" s="71">
        <v>434.53888795690818</v>
      </c>
      <c r="CS68" s="71">
        <v>447.13480880935333</v>
      </c>
      <c r="CT68" s="71">
        <v>459.90711153438355</v>
      </c>
      <c r="CU68" s="71">
        <v>472.85579613199906</v>
      </c>
      <c r="CV68" s="71">
        <v>485.98086260219986</v>
      </c>
      <c r="CW68" s="71">
        <v>499.28231094498568</v>
      </c>
      <c r="CX68" s="71">
        <v>512.76014116035685</v>
      </c>
      <c r="CY68" s="71">
        <v>526.4143532483132</v>
      </c>
      <c r="CZ68" s="71">
        <v>540.2449472088548</v>
      </c>
      <c r="DA68" s="71">
        <v>554.25192304198163</v>
      </c>
      <c r="DB68" s="71">
        <v>568.43528074769347</v>
      </c>
      <c r="DC68" s="71">
        <v>582.79502032599066</v>
      </c>
      <c r="DD68" s="71">
        <v>597.3311417768731</v>
      </c>
      <c r="DE68" s="71">
        <v>612.04364510034054</v>
      </c>
      <c r="DF68" s="71">
        <v>626.93253029639334</v>
      </c>
      <c r="DG68" s="71">
        <v>641.99779736503149</v>
      </c>
      <c r="DH68" s="71">
        <v>657.23944630625465</v>
      </c>
      <c r="DI68" s="71">
        <v>672.65747712006305</v>
      </c>
      <c r="DJ68" s="71">
        <v>688.25188980645657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608.70228700726375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37.145350960818966</v>
      </c>
      <c r="K85" s="79">
        <v>811.77169220231883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-159.70003509032941</v>
      </c>
      <c r="K86" s="79">
        <v>809.52799535644556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809420.51359378675</v>
      </c>
      <c r="J89" s="80">
        <v>3.6055473652628095E-2</v>
      </c>
      <c r="K89" s="80">
        <v>7.333687355094427E-7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808725.77937764523</v>
      </c>
      <c r="J90" s="80">
        <v>-1.0046534784373024E-2</v>
      </c>
      <c r="K90" s="80">
        <v>-3.1454391286421789E-8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809527.99535644555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-4.8739219497152098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608.70228700726375</v>
      </c>
      <c r="K114" s="79">
        <v>630.91519924534578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37.145350960818966</v>
      </c>
      <c r="K115" s="79">
        <v>11.025303288109553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-159.70003509032941</v>
      </c>
      <c r="K116" s="79">
        <v>-14.393915428857703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0.76137051700712444</v>
      </c>
      <c r="J119" s="80">
        <v>2.2699584997326776E-4</v>
      </c>
      <c r="K119" s="149">
        <v>1.327817558247946E-9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7.0399065225050017E-2</v>
      </c>
      <c r="J120" s="80">
        <v>1.8114353557782827E-4</v>
      </c>
      <c r="K120" s="80">
        <v>5.6713680581024926E-10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-14.393915428857703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1.6365395665793778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0.44426272750754386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3.3809909737378794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386.8210402115991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6.1725267927708671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864.58584740961396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0.24433702759636725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24122.296189748726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1.0358417723009734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587.64022004549906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-129.56103509032943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-129.56103509032943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4.1193712397296849E-2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1069.6255108045418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9.3490664713842563E-4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143.97329049349645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6945.7327575990348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119.99999999999999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7247.183012933614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-8.1505269864100907E-3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0.14695766319719808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X135"/>
  <sheetViews>
    <sheetView showGridLines="0" tabSelected="1" topLeftCell="A7" zoomScaleNormal="100" workbookViewId="0">
      <selection activeCell="H38" sqref="H38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1" spans="1:24">
      <c r="A1" s="153">
        <v>1</v>
      </c>
      <c r="B1" s="153">
        <f>A1+1</f>
        <v>2</v>
      </c>
      <c r="C1" s="153">
        <f t="shared" ref="C1:X1" si="0">B1+1</f>
        <v>3</v>
      </c>
      <c r="D1" s="153">
        <f t="shared" si="0"/>
        <v>4</v>
      </c>
      <c r="E1" s="153">
        <f t="shared" si="0"/>
        <v>5</v>
      </c>
      <c r="F1" s="153">
        <f t="shared" si="0"/>
        <v>6</v>
      </c>
      <c r="G1" s="153">
        <f t="shared" si="0"/>
        <v>7</v>
      </c>
      <c r="H1" s="153">
        <f t="shared" si="0"/>
        <v>8</v>
      </c>
      <c r="I1" s="153">
        <f t="shared" si="0"/>
        <v>9</v>
      </c>
      <c r="J1" s="153">
        <f t="shared" si="0"/>
        <v>10</v>
      </c>
      <c r="K1" s="153">
        <f t="shared" si="0"/>
        <v>11</v>
      </c>
      <c r="L1" s="153">
        <f t="shared" si="0"/>
        <v>12</v>
      </c>
      <c r="M1" s="153">
        <f t="shared" si="0"/>
        <v>13</v>
      </c>
      <c r="N1" s="153">
        <f t="shared" si="0"/>
        <v>14</v>
      </c>
      <c r="O1" s="153">
        <f t="shared" si="0"/>
        <v>15</v>
      </c>
      <c r="P1" s="153">
        <f t="shared" si="0"/>
        <v>16</v>
      </c>
      <c r="Q1" s="153">
        <f t="shared" si="0"/>
        <v>17</v>
      </c>
      <c r="R1" s="153">
        <f t="shared" si="0"/>
        <v>18</v>
      </c>
      <c r="S1" s="153">
        <f t="shared" si="0"/>
        <v>19</v>
      </c>
      <c r="T1" s="153">
        <f t="shared" si="0"/>
        <v>20</v>
      </c>
      <c r="U1" s="153">
        <f t="shared" si="0"/>
        <v>21</v>
      </c>
      <c r="V1" s="153">
        <f t="shared" si="0"/>
        <v>22</v>
      </c>
      <c r="W1" s="153">
        <f t="shared" si="0"/>
        <v>23</v>
      </c>
      <c r="X1" s="153">
        <f t="shared" si="0"/>
        <v>24</v>
      </c>
    </row>
    <row r="2" spans="1:24">
      <c r="B2" s="117" t="s">
        <v>215</v>
      </c>
      <c r="N2" s="117" t="s">
        <v>283</v>
      </c>
      <c r="R2" s="117" t="s">
        <v>283</v>
      </c>
    </row>
    <row r="4" spans="1:24">
      <c r="B4" s="117" t="s">
        <v>282</v>
      </c>
    </row>
    <row r="5" spans="1:24">
      <c r="R5" t="s">
        <v>334</v>
      </c>
      <c r="S5" s="154">
        <v>0</v>
      </c>
      <c r="T5" t="s">
        <v>335</v>
      </c>
    </row>
    <row r="6" spans="1:24">
      <c r="R6" t="s">
        <v>336</v>
      </c>
      <c r="S6" s="155">
        <v>1</v>
      </c>
      <c r="T6" t="s">
        <v>337</v>
      </c>
    </row>
    <row r="9" spans="1:24">
      <c r="R9" s="117" t="s">
        <v>338</v>
      </c>
    </row>
    <row r="10" spans="1:24">
      <c r="R10" s="156" t="s">
        <v>339</v>
      </c>
      <c r="T10" s="157" t="s">
        <v>340</v>
      </c>
      <c r="U10" s="104">
        <v>238</v>
      </c>
      <c r="V10" s="157" t="s">
        <v>8</v>
      </c>
    </row>
    <row r="11" spans="1:24">
      <c r="R11" s="158" t="s">
        <v>341</v>
      </c>
      <c r="T11" s="159" t="s">
        <v>342</v>
      </c>
      <c r="U11" s="104">
        <v>28</v>
      </c>
      <c r="V11" s="159" t="s">
        <v>8</v>
      </c>
    </row>
    <row r="13" spans="1:24">
      <c r="R13" s="156" t="s">
        <v>343</v>
      </c>
      <c r="T13" s="157" t="s">
        <v>344</v>
      </c>
      <c r="U13" s="160">
        <v>48</v>
      </c>
      <c r="V13" s="157" t="s">
        <v>8</v>
      </c>
    </row>
    <row r="14" spans="1:24">
      <c r="R14" s="156" t="s">
        <v>345</v>
      </c>
      <c r="T14" s="157" t="s">
        <v>346</v>
      </c>
      <c r="U14" s="160">
        <v>44.752499999999998</v>
      </c>
      <c r="V14" s="157" t="s">
        <v>8</v>
      </c>
    </row>
    <row r="15" spans="1:24">
      <c r="R15" s="156" t="s">
        <v>347</v>
      </c>
      <c r="T15" s="157" t="s">
        <v>348</v>
      </c>
      <c r="U15" s="160">
        <v>41.865812163333331</v>
      </c>
      <c r="V15" s="157" t="s">
        <v>8</v>
      </c>
    </row>
    <row r="17" spans="2:22">
      <c r="R17" s="156" t="s">
        <v>349</v>
      </c>
      <c r="T17" s="157" t="s">
        <v>350</v>
      </c>
      <c r="U17" s="161">
        <v>1473.1579837133568</v>
      </c>
      <c r="V17" s="157" t="s">
        <v>219</v>
      </c>
    </row>
    <row r="20" spans="2:22" ht="13.8">
      <c r="G20" s="134" t="s">
        <v>290</v>
      </c>
    </row>
    <row r="21" spans="2:22" ht="18">
      <c r="G21" s="135">
        <v>30</v>
      </c>
    </row>
    <row r="22" spans="2:22">
      <c r="G22" s="136">
        <f>MATCH(gap_angle,N48:Q48,0)</f>
        <v>1</v>
      </c>
    </row>
    <row r="23" spans="2:22">
      <c r="G23" s="136" t="str">
        <f>"Gap"&amp;gap_angle&amp;"deg"</f>
        <v>Gap30deg</v>
      </c>
    </row>
    <row r="26" spans="2:22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218</v>
      </c>
      <c r="G26" s="116" t="s">
        <v>221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281</v>
      </c>
      <c r="O26" s="116" t="s">
        <v>280</v>
      </c>
      <c r="P26" s="116" t="s">
        <v>279</v>
      </c>
      <c r="Q26" s="116" t="s">
        <v>278</v>
      </c>
    </row>
    <row r="27" spans="2:22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40"/>
      <c r="K27" s="106">
        <v>1</v>
      </c>
      <c r="L27" s="103" t="s">
        <v>198</v>
      </c>
      <c r="N27" s="104"/>
      <c r="O27" s="104"/>
      <c r="P27" s="104"/>
      <c r="Q27" s="104"/>
      <c r="R27" t="str">
        <f t="shared" ref="R27:R66" si="1">IF(H27&lt;&gt;"",H27,"")</f>
        <v>Simplified formula used, therefore not evaluated</v>
      </c>
    </row>
    <row r="28" spans="2:22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47.288017719282664</v>
      </c>
      <c r="F28" s="107" t="s">
        <v>86</v>
      </c>
      <c r="G28" s="107"/>
      <c r="H28" t="s">
        <v>208</v>
      </c>
      <c r="I28" s="141"/>
      <c r="K28" s="106">
        <f>K27+1</f>
        <v>2</v>
      </c>
      <c r="L28" s="105" t="s">
        <v>209</v>
      </c>
      <c r="M28" s="103" t="s">
        <v>128</v>
      </c>
      <c r="N28" s="107">
        <v>47.288017719282664</v>
      </c>
      <c r="O28" s="107">
        <v>47.288017719282664</v>
      </c>
      <c r="P28" s="107">
        <v>47.288017719282664</v>
      </c>
      <c r="Q28" s="107">
        <v>47.288017719282664</v>
      </c>
      <c r="R28" t="str">
        <f t="shared" si="1"/>
        <v>Simplified formula used, therefore not used directly (but reported here for info)</v>
      </c>
    </row>
    <row r="29" spans="2:22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41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1"/>
        <v>Nominal yield strength (0.2% strain limit) for 10.9 bolts</v>
      </c>
    </row>
    <row r="30" spans="2:22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41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tr">
        <f t="shared" si="1"/>
        <v/>
      </c>
    </row>
    <row r="31" spans="2:22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808.99913815980972</v>
      </c>
      <c r="F31" s="107" cm="1">
        <f t="array" aca="1" ref="F31" ca="1">INDIRECT(sheet_name&amp;"!bolt.pretension")</f>
        <v>809</v>
      </c>
      <c r="G31" s="118">
        <f ca="1">(F31-E31)/E31</f>
        <v>1.0653165740604152E-6</v>
      </c>
      <c r="H31" t="s">
        <v>203</v>
      </c>
      <c r="I31" s="140"/>
      <c r="K31" s="106">
        <f>K28+1</f>
        <v>3</v>
      </c>
      <c r="L31" s="103" t="s">
        <v>198</v>
      </c>
      <c r="M31" s="103" t="s">
        <v>128</v>
      </c>
      <c r="N31" s="107">
        <v>808.99913815980972</v>
      </c>
      <c r="O31" s="107">
        <v>808.99913815980972</v>
      </c>
      <c r="P31" s="107">
        <v>808.99913815980972</v>
      </c>
      <c r="Q31" s="107">
        <v>808.99913815980972</v>
      </c>
      <c r="R31" t="str">
        <f t="shared" si="1"/>
        <v>Design value of preload, simplified formula</v>
      </c>
    </row>
    <row r="32" spans="2:22" ht="15.6">
      <c r="B32" s="106"/>
      <c r="C32" s="103" t="s">
        <v>202</v>
      </c>
      <c r="D32" s="103" t="s">
        <v>128</v>
      </c>
      <c r="E32" s="107" cm="1">
        <f t="array" ref="E32">INDEX(N32:Q32,case_number)</f>
        <v>1020.8984827133563</v>
      </c>
      <c r="F32" s="107" t="s">
        <v>86</v>
      </c>
      <c r="G32" s="107"/>
      <c r="I32" s="140"/>
      <c r="K32" s="106"/>
      <c r="L32" s="103" t="s">
        <v>202</v>
      </c>
      <c r="M32" s="103" t="s">
        <v>128</v>
      </c>
      <c r="N32" s="107">
        <v>1020.8984827133563</v>
      </c>
      <c r="O32" s="107">
        <v>1020.8984827133563</v>
      </c>
      <c r="P32" s="107">
        <v>1020.8984827133563</v>
      </c>
      <c r="Q32" s="107">
        <v>1020.8984827133563</v>
      </c>
      <c r="R32" t="str">
        <f t="shared" si="1"/>
        <v/>
      </c>
    </row>
    <row r="33" spans="2:18" ht="15.6">
      <c r="B33" s="106"/>
      <c r="C33" s="103" t="s">
        <v>201</v>
      </c>
      <c r="D33" s="103" t="s">
        <v>123</v>
      </c>
      <c r="E33" s="109" cm="1">
        <f t="array" ref="E33">INDEX(N33:Q33,case_number)</f>
        <v>0.1</v>
      </c>
      <c r="F33" s="109" t="s">
        <v>86</v>
      </c>
      <c r="G33" s="109"/>
      <c r="I33" s="140"/>
      <c r="K33" s="106"/>
      <c r="L33" s="103" t="s">
        <v>201</v>
      </c>
      <c r="M33" s="103" t="s">
        <v>123</v>
      </c>
      <c r="N33" s="109">
        <v>0.1</v>
      </c>
      <c r="O33" s="109">
        <v>0.1</v>
      </c>
      <c r="P33" s="109">
        <v>0.1</v>
      </c>
      <c r="Q33" s="109">
        <v>0.1</v>
      </c>
      <c r="R33" t="str">
        <f t="shared" si="1"/>
        <v/>
      </c>
    </row>
    <row r="34" spans="2:18" ht="15.6">
      <c r="B34" s="106"/>
      <c r="C34" s="103" t="s">
        <v>200</v>
      </c>
      <c r="D34" s="103" t="s">
        <v>128</v>
      </c>
      <c r="E34" s="107" cm="1">
        <f t="array" ref="E34">INDEX(N34:Q34,case_number)</f>
        <v>945.76035438565327</v>
      </c>
      <c r="F34" s="107" t="s">
        <v>86</v>
      </c>
      <c r="G34" s="107"/>
      <c r="H34" t="s">
        <v>199</v>
      </c>
      <c r="I34" s="140"/>
      <c r="K34" s="106"/>
      <c r="L34" s="103" t="s">
        <v>200</v>
      </c>
      <c r="M34" s="103" t="s">
        <v>128</v>
      </c>
      <c r="N34" s="107">
        <v>945.76035438565327</v>
      </c>
      <c r="O34" s="107">
        <v>945.76035438565327</v>
      </c>
      <c r="P34" s="107">
        <v>945.76035438565327</v>
      </c>
      <c r="Q34" s="107">
        <v>945.76035438565327</v>
      </c>
      <c r="R34" t="str">
        <f t="shared" si="1"/>
        <v>Design preload averaged over 5 bolts</v>
      </c>
    </row>
    <row r="35" spans="2:18" ht="15.6">
      <c r="B35" s="131">
        <f>B31+1</f>
        <v>4</v>
      </c>
      <c r="C35" s="130" t="s">
        <v>277</v>
      </c>
      <c r="D35" s="130" t="s">
        <v>128</v>
      </c>
      <c r="E35" s="129" cm="1">
        <f t="array" ref="E35">INDEX(N35:Q35,case_number)</f>
        <v>808.99913815980972</v>
      </c>
      <c r="F35" s="129" t="s">
        <v>86</v>
      </c>
      <c r="G35" s="129"/>
      <c r="H35" s="132" t="s">
        <v>197</v>
      </c>
      <c r="I35" s="142"/>
      <c r="J35" s="132"/>
      <c r="K35" s="131">
        <f>K31+1</f>
        <v>4</v>
      </c>
      <c r="L35" s="130" t="s">
        <v>277</v>
      </c>
      <c r="M35" s="130" t="s">
        <v>128</v>
      </c>
      <c r="N35" s="129">
        <v>808.99913815980972</v>
      </c>
      <c r="O35" s="129">
        <v>808.99913815980972</v>
      </c>
      <c r="P35" s="129">
        <v>808.99913815980972</v>
      </c>
      <c r="Q35" s="129">
        <v>808.99913815980972</v>
      </c>
      <c r="R35" t="str">
        <f t="shared" si="1"/>
        <v>Limit value for HV bolts</v>
      </c>
    </row>
    <row r="36" spans="2:18" ht="15.6">
      <c r="B36" s="106"/>
      <c r="C36" s="105" t="s">
        <v>196</v>
      </c>
      <c r="D36" s="103" t="s">
        <v>276</v>
      </c>
      <c r="E36" s="114" cm="1">
        <f t="array" ref="E36">INDEX(N36:Q36,case_number)</f>
        <v>9.1986306542215614E-10</v>
      </c>
      <c r="F36" s="114" cm="1">
        <f t="array" aca="1" ref="F36" ca="1">1/(INDIRECT(sheet_name&amp;"!bolt.axial_stiffness")*1000000)</f>
        <v>9.3490664713842554E-10</v>
      </c>
      <c r="G36" s="118">
        <f ca="1">(F36-E36)/E36</f>
        <v>1.6354153440616061E-2</v>
      </c>
      <c r="I36" s="143"/>
      <c r="J36" s="144"/>
      <c r="K36" s="145"/>
      <c r="L36" s="105" t="s">
        <v>196</v>
      </c>
      <c r="M36" s="103" t="s">
        <v>276</v>
      </c>
      <c r="N36" s="114">
        <v>9.1986306542215614E-10</v>
      </c>
      <c r="O36" s="114">
        <v>9.1986306542215614E-10</v>
      </c>
      <c r="P36" s="114">
        <v>9.1986306542215614E-10</v>
      </c>
      <c r="Q36" s="114">
        <v>9.1986306542215614E-10</v>
      </c>
      <c r="R36" t="str">
        <f t="shared" si="1"/>
        <v/>
      </c>
    </row>
    <row r="37" spans="2:18" ht="15.6">
      <c r="B37" s="106"/>
      <c r="C37" s="105" t="s">
        <v>195</v>
      </c>
      <c r="D37" s="103" t="s">
        <v>276</v>
      </c>
      <c r="E37" s="114" cm="1">
        <f t="array" ref="E37">INDEX(N37:Q37,case_number)</f>
        <v>1.5408931721752862E-10</v>
      </c>
      <c r="F37" s="114" cm="1">
        <f t="array" aca="1" ref="F37" ca="1">1/(INDIRECT(sheet_name&amp;"!clamped_parts_stiffness")*1000000)</f>
        <v>1.379846484096455E-10</v>
      </c>
      <c r="G37" s="118">
        <f ca="1">(F37-E37)/E37</f>
        <v>-0.10451515457848437</v>
      </c>
      <c r="H37" s="150"/>
      <c r="I37" s="143"/>
      <c r="J37" s="144"/>
      <c r="K37" s="145"/>
      <c r="L37" s="105" t="s">
        <v>195</v>
      </c>
      <c r="M37" s="103" t="s">
        <v>276</v>
      </c>
      <c r="N37" s="114">
        <v>1.5408931721752862E-10</v>
      </c>
      <c r="O37" s="114">
        <v>1.5408931721752862E-10</v>
      </c>
      <c r="P37" s="114">
        <v>1.5408931721752862E-10</v>
      </c>
      <c r="Q37" s="114">
        <v>1.5408931721752862E-10</v>
      </c>
      <c r="R37" t="str">
        <f t="shared" si="1"/>
        <v/>
      </c>
    </row>
    <row r="38" spans="2:18">
      <c r="B38" s="106"/>
      <c r="C38" s="105" t="s">
        <v>194</v>
      </c>
      <c r="D38" s="103" t="s">
        <v>123</v>
      </c>
      <c r="E38" s="109" cm="1">
        <f t="array" ref="E38">INDEX(N38:Q38,case_number)</f>
        <v>0.14347872373893336</v>
      </c>
      <c r="F38" s="109" cm="1">
        <f t="array" aca="1" ref="F38" ca="1">INDIRECT(sheet_name&amp;"!bolt.axial_stiffness")/(INDIRECT(sheet_name&amp;"!bolt.axial_stiffness")+INDIRECT(sheet_name&amp;"!clamped_parts_stiffness"))</f>
        <v>0.1286100921707618</v>
      </c>
      <c r="G38" s="118">
        <f ca="1">(F38-E38)/E38</f>
        <v>-0.10362952206924958</v>
      </c>
      <c r="H38" s="150"/>
      <c r="I38" s="143"/>
      <c r="J38" s="144"/>
      <c r="K38" s="145"/>
      <c r="L38" s="105" t="s">
        <v>194</v>
      </c>
      <c r="M38" s="103" t="s">
        <v>123</v>
      </c>
      <c r="N38" s="109">
        <v>0.14347872373893336</v>
      </c>
      <c r="O38" s="109">
        <v>0.14347872373893336</v>
      </c>
      <c r="P38" s="109">
        <v>0.14347872373893336</v>
      </c>
      <c r="Q38" s="109">
        <v>0.14347872373893336</v>
      </c>
      <c r="R38" t="str">
        <f t="shared" si="1"/>
        <v/>
      </c>
    </row>
    <row r="39" spans="2:18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89.473198506560863</v>
      </c>
      <c r="F39" s="108" t="s">
        <v>86</v>
      </c>
      <c r="G39" s="108"/>
      <c r="I39" s="143"/>
      <c r="J39" s="144"/>
      <c r="K39" s="145">
        <f>K35+1</f>
        <v>5</v>
      </c>
      <c r="L39" s="105" t="s">
        <v>193</v>
      </c>
      <c r="M39" s="103" t="s">
        <v>128</v>
      </c>
      <c r="N39" s="108">
        <v>89.473198506560863</v>
      </c>
      <c r="O39" s="108">
        <v>89.473198506560863</v>
      </c>
      <c r="P39" s="108">
        <v>89.473198506560863</v>
      </c>
      <c r="Q39" s="108">
        <v>89.473198506560863</v>
      </c>
      <c r="R39" t="str">
        <f t="shared" si="1"/>
        <v/>
      </c>
    </row>
    <row r="40" spans="2:18" ht="15.6">
      <c r="B40" s="106"/>
      <c r="C40" s="105" t="s">
        <v>192</v>
      </c>
      <c r="D40" s="103" t="s">
        <v>275</v>
      </c>
      <c r="E40" s="107" cm="1">
        <f t="array" ref="E40">INDEX(N40:Q40,case_number)</f>
        <v>500</v>
      </c>
      <c r="F40" s="107" t="s">
        <v>86</v>
      </c>
      <c r="G40" s="107"/>
      <c r="I40" s="143"/>
      <c r="J40" s="144"/>
      <c r="K40" s="145"/>
      <c r="L40" s="105" t="s">
        <v>192</v>
      </c>
      <c r="M40" s="103" t="s">
        <v>275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1"/>
        <v/>
      </c>
    </row>
    <row r="41" spans="2:18" ht="15.6">
      <c r="B41" s="106">
        <f>B39+1</f>
        <v>6</v>
      </c>
      <c r="C41" s="103" t="s">
        <v>191</v>
      </c>
      <c r="D41" s="103" t="s">
        <v>275</v>
      </c>
      <c r="E41" s="107" cm="1">
        <f t="array" ref="E41">INDEX(N41:Q41,case_number)</f>
        <v>96.08995471851452</v>
      </c>
      <c r="F41" s="107" t="s">
        <v>86</v>
      </c>
      <c r="G41" s="107"/>
      <c r="H41" t="s">
        <v>190</v>
      </c>
      <c r="I41" s="146"/>
      <c r="J41" s="144"/>
      <c r="K41" s="145">
        <f>K39+1</f>
        <v>6</v>
      </c>
      <c r="L41" s="103" t="s">
        <v>191</v>
      </c>
      <c r="M41" s="103" t="s">
        <v>275</v>
      </c>
      <c r="N41" s="107">
        <v>96.08995471851452</v>
      </c>
      <c r="O41" s="107">
        <v>96.08995471851452</v>
      </c>
      <c r="P41" s="107">
        <v>96.08995471851452</v>
      </c>
      <c r="Q41" s="107">
        <v>96.08995471851452</v>
      </c>
      <c r="R41" t="str">
        <f t="shared" si="1"/>
        <v>Including 50% reduction where re-tightening is assumed</v>
      </c>
    </row>
    <row r="42" spans="2:18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6"/>
      <c r="J42" s="144"/>
      <c r="K42" s="145">
        <f>K41+1</f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tr">
        <f t="shared" si="1"/>
        <v/>
      </c>
    </row>
    <row r="43" spans="2:18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65.673222412000001</v>
      </c>
      <c r="F43" s="107" t="s">
        <v>86</v>
      </c>
      <c r="G43" s="107"/>
      <c r="H43" t="s">
        <v>187</v>
      </c>
      <c r="I43" s="146"/>
      <c r="J43" s="144"/>
      <c r="K43" s="145">
        <f>K42+1</f>
        <v>8</v>
      </c>
      <c r="L43" s="103" t="s">
        <v>188</v>
      </c>
      <c r="M43" s="103" t="s">
        <v>184</v>
      </c>
      <c r="N43" s="107">
        <v>65.673222412000001</v>
      </c>
      <c r="O43" s="107">
        <v>65.673222412000001</v>
      </c>
      <c r="P43" s="107">
        <v>65.673222412000001</v>
      </c>
      <c r="Q43" s="107">
        <v>65.673222412000001</v>
      </c>
      <c r="R43" t="str">
        <f t="shared" si="1"/>
        <v>Note: S1 loads not included here, only FLS loads</v>
      </c>
    </row>
    <row r="44" spans="2:18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65.673222412000001</v>
      </c>
      <c r="F44" s="107" t="s">
        <v>86</v>
      </c>
      <c r="G44" s="107"/>
      <c r="I44" s="146"/>
      <c r="J44" s="144"/>
      <c r="K44" s="145">
        <f>K43+1</f>
        <v>9</v>
      </c>
      <c r="L44" s="103" t="s">
        <v>186</v>
      </c>
      <c r="M44" s="103" t="s">
        <v>184</v>
      </c>
      <c r="N44" s="107">
        <v>65.673222412000001</v>
      </c>
      <c r="O44" s="107">
        <v>65.673222412000001</v>
      </c>
      <c r="P44" s="107">
        <v>65.673222412000001</v>
      </c>
      <c r="Q44" s="107">
        <v>65.673222412000001</v>
      </c>
      <c r="R44" t="str">
        <f t="shared" si="1"/>
        <v/>
      </c>
    </row>
    <row r="45" spans="2:18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-58.57360279409982</v>
      </c>
      <c r="F45" s="107" t="s">
        <v>86</v>
      </c>
      <c r="G45" s="107"/>
      <c r="I45" s="146"/>
      <c r="J45" s="144"/>
      <c r="K45" s="145">
        <f>K44+1</f>
        <v>10</v>
      </c>
      <c r="L45" s="103" t="s">
        <v>185</v>
      </c>
      <c r="M45" s="103" t="s">
        <v>184</v>
      </c>
      <c r="N45" s="107">
        <v>-58.57360279409982</v>
      </c>
      <c r="O45" s="107">
        <v>-58.57360279409982</v>
      </c>
      <c r="P45" s="107">
        <v>-58.57360279409982</v>
      </c>
      <c r="Q45" s="107">
        <v>-58.57360279409982</v>
      </c>
      <c r="R45" t="str">
        <f t="shared" si="1"/>
        <v/>
      </c>
    </row>
    <row r="46" spans="2:18" ht="15.6">
      <c r="B46" s="106"/>
      <c r="C46" s="103" t="s">
        <v>183</v>
      </c>
      <c r="D46" s="103" t="s">
        <v>128</v>
      </c>
      <c r="E46" s="111" cm="1">
        <f t="array" ref="E46">INDEX(N46:Q46,case_number)</f>
        <v>369.02469277749583</v>
      </c>
      <c r="F46" s="111" t="s">
        <v>86</v>
      </c>
      <c r="G46" s="111"/>
      <c r="I46" s="146"/>
      <c r="J46" s="144"/>
      <c r="K46" s="145"/>
      <c r="L46" s="103" t="s">
        <v>183</v>
      </c>
      <c r="M46" s="103" t="s">
        <v>128</v>
      </c>
      <c r="N46" s="111">
        <v>369.02469277749583</v>
      </c>
      <c r="O46" s="111">
        <v>369.02469277749583</v>
      </c>
      <c r="P46" s="111">
        <v>369.02469277749583</v>
      </c>
      <c r="Q46" s="111">
        <v>369.02469277749583</v>
      </c>
      <c r="R46" t="str">
        <f t="shared" si="1"/>
        <v/>
      </c>
    </row>
    <row r="47" spans="2:18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309</v>
      </c>
      <c r="I47" s="146"/>
      <c r="J47" s="144"/>
      <c r="K47" s="145">
        <f>K45+1</f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tr">
        <f t="shared" si="1"/>
        <v>(valid in case L-Flange is calculated)</v>
      </c>
    </row>
    <row r="48" spans="2:18" ht="15.6">
      <c r="B48" s="106"/>
      <c r="C48" s="105" t="s">
        <v>181</v>
      </c>
      <c r="D48" s="103" t="s">
        <v>180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2">(F48-E48)/E48</f>
        <v>-1.1842378929335003E-16</v>
      </c>
      <c r="I48" s="143"/>
      <c r="J48" s="144"/>
      <c r="K48" s="145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1"/>
        <v/>
      </c>
    </row>
    <row r="49" spans="2:18" ht="15.6">
      <c r="B49" s="106"/>
      <c r="C49" s="103" t="s">
        <v>179</v>
      </c>
      <c r="D49" s="103" t="s">
        <v>173</v>
      </c>
      <c r="E49" s="109" cm="1">
        <f t="array" ref="E49">INDEX(N49:Q49,case_number)</f>
        <v>1.2042771838760873</v>
      </c>
      <c r="F49" s="109" cm="1">
        <f t="array" aca="1" ref="F49" ca="1">INDIRECT(sheet_name&amp;"!gap.L")/1000</f>
        <v>1.2042771838760875</v>
      </c>
      <c r="G49" s="118">
        <f t="shared" ca="1" si="2"/>
        <v>1.8437998153411694E-16</v>
      </c>
      <c r="H49" t="s">
        <v>322</v>
      </c>
      <c r="I49" s="146"/>
      <c r="J49" s="144"/>
      <c r="K49" s="145"/>
      <c r="L49" s="103" t="s">
        <v>179</v>
      </c>
      <c r="M49" s="103" t="s">
        <v>173</v>
      </c>
      <c r="N49" s="109">
        <v>1.2042771838760873</v>
      </c>
      <c r="O49" s="109">
        <v>2.4085543677521746</v>
      </c>
      <c r="P49" s="109">
        <v>3.6128315516282621</v>
      </c>
      <c r="Q49" s="109">
        <v>4.8171087355043491</v>
      </c>
      <c r="R49" t="str">
        <f t="shared" si="1"/>
        <v>Gap length measured on outside diameter</v>
      </c>
    </row>
    <row r="50" spans="2:18">
      <c r="B50" s="106"/>
      <c r="C50" s="103" t="s">
        <v>93</v>
      </c>
      <c r="D50" s="103" t="s">
        <v>173</v>
      </c>
      <c r="E50" s="109" cm="1">
        <f t="array" ref="E50">INDEX(N50:Q50,case_number)</f>
        <v>4.5999999999999996</v>
      </c>
      <c r="F50" s="109" cm="1">
        <f t="array" aca="1" ref="F50" ca="1">2*INDIRECT(sheet_name&amp;"!Radius")/1000</f>
        <v>4.5999999999999996</v>
      </c>
      <c r="G50" s="118">
        <f t="shared" ca="1" si="2"/>
        <v>0</v>
      </c>
      <c r="I50" s="146"/>
      <c r="J50" s="144"/>
      <c r="K50" s="145"/>
      <c r="L50" s="103" t="s">
        <v>93</v>
      </c>
      <c r="M50" s="103" t="s">
        <v>173</v>
      </c>
      <c r="N50" s="109">
        <v>4.5999999999999996</v>
      </c>
      <c r="O50" s="109">
        <v>4.5999999999999996</v>
      </c>
      <c r="P50" s="109">
        <v>4.5999999999999996</v>
      </c>
      <c r="Q50" s="109">
        <v>4.5999999999999996</v>
      </c>
      <c r="R50" t="str">
        <f t="shared" si="1"/>
        <v/>
      </c>
    </row>
    <row r="51" spans="2:18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2"/>
        <v>0</v>
      </c>
      <c r="I51" s="146"/>
      <c r="J51" s="144"/>
      <c r="K51" s="145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1"/>
        <v/>
      </c>
    </row>
    <row r="52" spans="2:18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0.25543636477371356</v>
      </c>
      <c r="F52" s="109" cm="1">
        <f t="array" aca="1" ref="F52" ca="1">INDIRECT(sheet_name&amp;"!gap.k_mean")</f>
        <v>0.25543636477371395</v>
      </c>
      <c r="G52" s="118">
        <f t="shared" ca="1" si="2"/>
        <v>1.5212323388764126E-15</v>
      </c>
      <c r="I52" s="146"/>
      <c r="J52" s="144"/>
      <c r="K52" s="145">
        <f>K47+1</f>
        <v>12</v>
      </c>
      <c r="L52" s="103" t="s">
        <v>176</v>
      </c>
      <c r="M52" s="103" t="s">
        <v>126</v>
      </c>
      <c r="N52" s="109">
        <v>0.25543636477371356</v>
      </c>
      <c r="O52" s="109">
        <v>0.61333841412818124</v>
      </c>
      <c r="P52" s="109">
        <v>1.0737061480634029</v>
      </c>
      <c r="Q52" s="109">
        <v>1.6365395665793787</v>
      </c>
      <c r="R52" t="str">
        <f t="shared" si="1"/>
        <v/>
      </c>
    </row>
    <row r="53" spans="2:18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2"/>
        <v>-1.825671107581705E-16</v>
      </c>
      <c r="I53" s="146"/>
      <c r="J53" s="144"/>
      <c r="K53" s="145">
        <f>K52+1</f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1"/>
        <v/>
      </c>
    </row>
    <row r="54" spans="2:18" ht="15.6">
      <c r="B54" s="106"/>
      <c r="C54" s="103" t="s">
        <v>174</v>
      </c>
      <c r="D54" s="103" t="s">
        <v>173</v>
      </c>
      <c r="E54" s="109" cm="1">
        <f t="array" ref="E54">INDEX(N54:Q54,case_number)</f>
        <v>1.2042771838760873</v>
      </c>
      <c r="F54" s="109" t="s">
        <v>86</v>
      </c>
      <c r="G54" s="109"/>
      <c r="I54" s="146"/>
      <c r="J54" s="144"/>
      <c r="K54" s="145"/>
      <c r="L54" s="103" t="s">
        <v>174</v>
      </c>
      <c r="M54" s="103" t="s">
        <v>173</v>
      </c>
      <c r="N54" s="109">
        <v>1.2042771838760873</v>
      </c>
      <c r="O54" s="109">
        <v>1.2042771838760873</v>
      </c>
      <c r="P54" s="109">
        <v>1.2042771838760873</v>
      </c>
      <c r="Q54" s="109">
        <v>1.2042771838760873</v>
      </c>
      <c r="R54" t="str">
        <f t="shared" si="1"/>
        <v/>
      </c>
    </row>
    <row r="55" spans="2:18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1.5363538916529389</v>
      </c>
      <c r="F55" s="109" t="s">
        <v>86</v>
      </c>
      <c r="G55" s="109"/>
      <c r="I55" s="146"/>
      <c r="J55" s="144"/>
      <c r="K55" s="145">
        <f>K53+1</f>
        <v>14</v>
      </c>
      <c r="L55" s="103" t="s">
        <v>172</v>
      </c>
      <c r="M55" s="103" t="s">
        <v>126</v>
      </c>
      <c r="N55" s="109">
        <v>1.5363538916529389</v>
      </c>
      <c r="O55" s="109">
        <v>1.5363538916529389</v>
      </c>
      <c r="P55" s="109">
        <v>1.5363538916529389</v>
      </c>
      <c r="Q55" s="109">
        <v>1.5363538916529389</v>
      </c>
      <c r="R55" t="str">
        <f t="shared" si="1"/>
        <v/>
      </c>
    </row>
    <row r="56" spans="2:18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2.3045308374794082</v>
      </c>
      <c r="F56" s="109" t="s">
        <v>86</v>
      </c>
      <c r="G56" s="109"/>
      <c r="I56" s="146"/>
      <c r="J56" s="144"/>
      <c r="K56" s="145">
        <f>K55+1</f>
        <v>15</v>
      </c>
      <c r="L56" s="103" t="s">
        <v>171</v>
      </c>
      <c r="M56" s="103" t="s">
        <v>126</v>
      </c>
      <c r="N56" s="109">
        <v>2.3045308374794082</v>
      </c>
      <c r="O56" s="109">
        <v>2.3045308374794082</v>
      </c>
      <c r="P56" s="109">
        <v>2.3045308374794082</v>
      </c>
      <c r="Q56" s="109">
        <v>2.3045308374794082</v>
      </c>
      <c r="R56" t="str">
        <f t="shared" si="1"/>
        <v/>
      </c>
    </row>
    <row r="57" spans="2:18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0.95286282352314688</v>
      </c>
      <c r="F57" s="109" t="s">
        <v>86</v>
      </c>
      <c r="G57" s="109"/>
      <c r="I57" s="143"/>
      <c r="J57" s="144"/>
      <c r="K57" s="145">
        <f>K56+1</f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1"/>
        <v/>
      </c>
    </row>
    <row r="58" spans="2:18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-1.818755742136632</v>
      </c>
      <c r="F58" s="109" t="s">
        <v>86</v>
      </c>
      <c r="G58" s="109"/>
      <c r="I58" s="143"/>
      <c r="J58" s="144"/>
      <c r="K58" s="145">
        <f>K57+1</f>
        <v>17</v>
      </c>
      <c r="L58" s="105" t="s">
        <v>169</v>
      </c>
      <c r="M58" s="103"/>
      <c r="N58" s="109">
        <v>-1.818755742136632</v>
      </c>
      <c r="O58" s="109">
        <v>-0.65856501763236064</v>
      </c>
      <c r="P58" s="109">
        <v>-4.0200575628711196E-2</v>
      </c>
      <c r="Q58" s="109">
        <v>0.40252051240999598</v>
      </c>
      <c r="R58" t="str">
        <f t="shared" si="1"/>
        <v/>
      </c>
    </row>
    <row r="59" spans="2:18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-0.25139168372340781</v>
      </c>
      <c r="F59" s="113" t="s">
        <v>86</v>
      </c>
      <c r="G59" s="109"/>
      <c r="I59" s="146"/>
      <c r="J59" s="144"/>
      <c r="K59" s="145">
        <f>K58+1</f>
        <v>18</v>
      </c>
      <c r="L59" s="103" t="s">
        <v>168</v>
      </c>
      <c r="M59" s="103"/>
      <c r="N59" s="109">
        <v>-0.25139168372340781</v>
      </c>
      <c r="O59" s="109">
        <v>0.2997966493307046</v>
      </c>
      <c r="P59" s="109">
        <v>0.73593056145449198</v>
      </c>
      <c r="Q59" s="109">
        <v>1.100638551127151</v>
      </c>
      <c r="R59" t="str">
        <f t="shared" si="1"/>
        <v/>
      </c>
    </row>
    <row r="60" spans="2:18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0.77768332816019681</v>
      </c>
      <c r="F60" s="109" cm="1">
        <f t="array" aca="1" ref="F60" ca="1">INDIRECT(sheet_name&amp;"!gap.h")</f>
        <v>0.77768332816019836</v>
      </c>
      <c r="G60" s="118">
        <f t="shared" ref="G60:G61" ca="1" si="3">(F60-E60)/E60</f>
        <v>1.9986441501225583E-15</v>
      </c>
      <c r="I60" s="146"/>
      <c r="J60" s="144"/>
      <c r="K60" s="145">
        <f>K59+1</f>
        <v>19</v>
      </c>
      <c r="L60" s="103" t="s">
        <v>167</v>
      </c>
      <c r="M60" s="103" t="s">
        <v>126</v>
      </c>
      <c r="N60" s="109">
        <v>0.77768332816019681</v>
      </c>
      <c r="O60" s="109">
        <v>1.349547878014234</v>
      </c>
      <c r="P60" s="109">
        <v>2.0873778911039058</v>
      </c>
      <c r="Q60" s="109">
        <v>3.0060257869038067</v>
      </c>
      <c r="R60" t="str">
        <f t="shared" si="1"/>
        <v/>
      </c>
    </row>
    <row r="61" spans="2:18" ht="15.6">
      <c r="B61" s="106"/>
      <c r="C61" s="103" t="s">
        <v>166</v>
      </c>
      <c r="D61" s="103" t="s">
        <v>126</v>
      </c>
      <c r="E61" s="109" cm="1">
        <f t="array" ref="E61">INDEX(N61:Q61,case_number)</f>
        <v>0.77768332816019681</v>
      </c>
      <c r="F61" s="109" cm="1">
        <f t="array" aca="1" ref="F61" ca="1">INDIRECT(sheet_name&amp;"!gap.h")</f>
        <v>0.77768332816019836</v>
      </c>
      <c r="G61" s="118">
        <f t="shared" ca="1" si="3"/>
        <v>1.9986441501225583E-15</v>
      </c>
      <c r="H61" t="s">
        <v>165</v>
      </c>
      <c r="I61" s="146"/>
      <c r="J61" s="144"/>
      <c r="K61" s="145"/>
      <c r="L61" s="103" t="s">
        <v>166</v>
      </c>
      <c r="M61" s="103" t="s">
        <v>126</v>
      </c>
      <c r="N61" s="109">
        <v>0.77768332816019681</v>
      </c>
      <c r="O61" s="109">
        <v>1.349547878014234</v>
      </c>
      <c r="P61" s="109">
        <v>2.0873778911039058</v>
      </c>
      <c r="Q61" s="109">
        <v>3.0060257869038067</v>
      </c>
      <c r="R61" t="str">
        <f t="shared" si="1"/>
        <v>Gap value used for calculation</v>
      </c>
    </row>
    <row r="62" spans="2:18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6"/>
      <c r="J62" s="144"/>
      <c r="K62" s="145">
        <f>K60+1</f>
        <v>20</v>
      </c>
      <c r="L62" s="103" t="s">
        <v>164</v>
      </c>
      <c r="M62" s="103"/>
      <c r="N62" s="128"/>
      <c r="O62" s="128"/>
      <c r="P62" s="128"/>
      <c r="Q62" s="128"/>
      <c r="R62" t="str">
        <f t="shared" si="1"/>
        <v>Gap shape formula</v>
      </c>
    </row>
    <row r="63" spans="2:18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7"/>
      <c r="J63" s="144"/>
      <c r="K63" s="145">
        <f>K62+1</f>
        <v>21</v>
      </c>
      <c r="L63" s="112" t="s">
        <v>162</v>
      </c>
      <c r="M63" s="103"/>
      <c r="N63" s="128"/>
      <c r="O63" s="128"/>
      <c r="P63" s="128"/>
      <c r="Q63" s="128"/>
      <c r="R63" t="str">
        <f t="shared" si="1"/>
        <v>Stress range formula</v>
      </c>
    </row>
    <row r="64" spans="2:18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160</v>
      </c>
      <c r="M64" s="103"/>
      <c r="N64" s="104"/>
      <c r="O64" s="104"/>
      <c r="P64" s="104"/>
      <c r="Q64" s="104"/>
      <c r="R64" t="str">
        <f t="shared" si="1"/>
        <v/>
      </c>
    </row>
    <row r="65" spans="2:18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159</v>
      </c>
      <c r="M65" s="103"/>
      <c r="N65" s="104"/>
      <c r="O65" s="104"/>
      <c r="P65" s="104"/>
      <c r="Q65" s="104"/>
      <c r="R65" t="str">
        <f t="shared" si="1"/>
        <v/>
      </c>
    </row>
    <row r="66" spans="2:18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6"/>
      <c r="J66" s="144"/>
      <c r="K66" s="145">
        <f>K65+1</f>
        <v>24</v>
      </c>
      <c r="L66" s="103" t="s">
        <v>158</v>
      </c>
      <c r="M66" s="103"/>
      <c r="N66" s="128"/>
      <c r="O66" s="128"/>
      <c r="P66" s="128"/>
      <c r="Q66" s="128"/>
      <c r="R66" t="str">
        <f t="shared" si="1"/>
        <v>Summarized formula for bolt force curve</v>
      </c>
    </row>
    <row r="67" spans="2:18" ht="15.6">
      <c r="B67" s="106"/>
      <c r="C67" s="103" t="s">
        <v>321</v>
      </c>
      <c r="D67" s="103" t="s">
        <v>128</v>
      </c>
      <c r="E67" s="109" cm="1">
        <f t="array" ref="E67">INDEX(N67:Q67,case_number)</f>
        <v>-30.138888888888889</v>
      </c>
      <c r="F67" s="109" cm="1">
        <f t="array" aca="1" ref="F67" ca="1">INDIRECT(sheet_name&amp;"!Point1.Z")</f>
        <v>-30.138999999999999</v>
      </c>
      <c r="G67" s="118">
        <f t="shared" ref="G67" ca="1" si="4">(F67-E67)/E67</f>
        <v>3.6866359446656738E-6</v>
      </c>
      <c r="K67" s="106"/>
      <c r="L67" s="103" t="s">
        <v>321</v>
      </c>
      <c r="M67" s="103" t="s">
        <v>128</v>
      </c>
      <c r="N67" s="109">
        <v>-30.138888888888889</v>
      </c>
      <c r="O67" s="109">
        <v>-30.138888888888889</v>
      </c>
      <c r="P67" s="109">
        <v>-30.138888888888889</v>
      </c>
      <c r="Q67" s="109">
        <v>-30.138888888888889</v>
      </c>
    </row>
    <row r="68" spans="2:18" ht="15.6">
      <c r="B68" s="106"/>
      <c r="C68" s="103" t="s">
        <v>320</v>
      </c>
      <c r="D68" s="103" t="s">
        <v>128</v>
      </c>
      <c r="E68" s="107" cm="1">
        <f t="array" ref="E68">INDEX(N68:Q68,case_number)</f>
        <v>808.99913815980972</v>
      </c>
      <c r="F68" s="107" cm="1">
        <f t="array" aca="1" ref="F68" ca="1">INDIRECT(sheet_name&amp;"!Point1.Fs")</f>
        <v>809</v>
      </c>
      <c r="G68" s="118">
        <f t="shared" ref="G68:G72" ca="1" si="5">(F68-E68)/E68</f>
        <v>1.0653165740604152E-6</v>
      </c>
      <c r="K68" s="106"/>
      <c r="L68" s="103" t="s">
        <v>320</v>
      </c>
      <c r="M68" s="103" t="s">
        <v>128</v>
      </c>
      <c r="N68" s="109">
        <v>808.99913815980972</v>
      </c>
      <c r="O68" s="109">
        <v>808.99913815980972</v>
      </c>
      <c r="P68" s="109">
        <v>808.99913815980972</v>
      </c>
      <c r="Q68" s="109">
        <v>808.99913815980972</v>
      </c>
    </row>
    <row r="69" spans="2:18" ht="15.6">
      <c r="B69" s="106"/>
      <c r="C69" s="103" t="s">
        <v>319</v>
      </c>
      <c r="D69" s="103" t="s">
        <v>128</v>
      </c>
      <c r="E69" s="108" cm="1">
        <f t="array" ref="E69">INDEX(N69:Q69,case_number)</f>
        <v>564.99106144430425</v>
      </c>
      <c r="F69" s="108" cm="1">
        <f t="array" aca="1" ref="F69" ca="1">INDIRECT(sheet_name&amp;"!Point2.Z")</f>
        <v>568.1943404499392</v>
      </c>
      <c r="G69" s="118">
        <f t="shared" ca="1" si="5"/>
        <v>5.6696100597526484E-3</v>
      </c>
      <c r="K69" s="106"/>
      <c r="L69" s="103" t="s">
        <v>319</v>
      </c>
      <c r="M69" s="103" t="s">
        <v>128</v>
      </c>
      <c r="N69" s="109">
        <v>564.99106144430425</v>
      </c>
      <c r="O69" s="109">
        <v>600.90446861263388</v>
      </c>
      <c r="P69" s="109">
        <v>606.3478747816921</v>
      </c>
      <c r="Q69" s="109">
        <v>608.41367566097222</v>
      </c>
    </row>
    <row r="70" spans="2:18" ht="15.6">
      <c r="B70" s="106"/>
      <c r="C70" s="103" t="s">
        <v>318</v>
      </c>
      <c r="D70" s="103" t="s">
        <v>128</v>
      </c>
      <c r="E70" s="107" cm="1">
        <f t="array" ref="E70">INDEX(N70:Q70,case_number)</f>
        <v>1103.1006982045617</v>
      </c>
      <c r="F70" s="107" cm="1">
        <f t="array" aca="1" ref="F70" ca="1">INDIRECT(sheet_name&amp;"!Point2.Fs")</f>
        <v>1103.0942277779873</v>
      </c>
      <c r="G70" s="118">
        <f t="shared" ca="1" si="5"/>
        <v>-5.8656717242183184E-6</v>
      </c>
      <c r="K70" s="106"/>
      <c r="L70" s="103" t="s">
        <v>318</v>
      </c>
      <c r="M70" s="103" t="s">
        <v>128</v>
      </c>
      <c r="N70" s="109">
        <v>1103.1006982045617</v>
      </c>
      <c r="O70" s="109">
        <v>1103.1006982045617</v>
      </c>
      <c r="P70" s="109">
        <v>1103.1006982045617</v>
      </c>
      <c r="Q70" s="109">
        <v>1103.1006982045617</v>
      </c>
    </row>
    <row r="71" spans="2:18" ht="15.6">
      <c r="B71" s="106"/>
      <c r="C71" s="103" t="s">
        <v>317</v>
      </c>
      <c r="D71" s="103" t="s">
        <v>128</v>
      </c>
      <c r="E71" s="107" cm="1">
        <f t="array" ref="E71">INDEX(N71:Q71,case_number)</f>
        <v>57.880991957583241</v>
      </c>
      <c r="F71" s="107" cm="1">
        <f t="array" aca="1" ref="F71" ca="1">INDIRECT(sheet_name&amp;"!Point3.Z")</f>
        <v>58.209538071357031</v>
      </c>
      <c r="G71" s="118">
        <f t="shared" ca="1" si="5"/>
        <v>5.6762350240050696E-3</v>
      </c>
      <c r="K71" s="106"/>
      <c r="L71" s="103" t="s">
        <v>317</v>
      </c>
      <c r="M71" s="103" t="s">
        <v>128</v>
      </c>
      <c r="N71" s="109">
        <v>57.880991957583241</v>
      </c>
      <c r="O71" s="109">
        <v>40.092114426322802</v>
      </c>
      <c r="P71" s="109">
        <v>37.932765944767311</v>
      </c>
      <c r="Q71" s="109">
        <v>37.127690761952316</v>
      </c>
    </row>
    <row r="72" spans="2:18" ht="15.6">
      <c r="B72" s="106"/>
      <c r="C72" s="103" t="s">
        <v>316</v>
      </c>
      <c r="D72" s="103" t="s">
        <v>128</v>
      </c>
      <c r="E72" s="107" cm="1">
        <f t="array" ref="E72">INDEX(N72:Q72,case_number)</f>
        <v>820.46246254221171</v>
      </c>
      <c r="F72" s="107" cm="1">
        <f t="array" aca="1" ref="F72" ca="1">INDIRECT(sheet_name&amp;"!Point3.Fs")</f>
        <v>819.31374608230396</v>
      </c>
      <c r="G72" s="118">
        <f t="shared" ca="1" si="5"/>
        <v>-1.4000841139623081E-3</v>
      </c>
      <c r="K72" s="106"/>
      <c r="L72" s="103" t="s">
        <v>316</v>
      </c>
      <c r="M72" s="103" t="s">
        <v>128</v>
      </c>
      <c r="N72" s="109">
        <v>820.46246254221171</v>
      </c>
      <c r="O72" s="109">
        <v>813.47642204444719</v>
      </c>
      <c r="P72" s="109">
        <v>812.4757480536274</v>
      </c>
      <c r="Q72" s="109">
        <v>812.09045269159333</v>
      </c>
    </row>
    <row r="73" spans="2:18" ht="15.6">
      <c r="B73" s="106"/>
      <c r="C73" s="103" t="s">
        <v>315</v>
      </c>
      <c r="D73" s="103"/>
      <c r="E73" s="107" cm="1">
        <f t="array" ref="E73">INDEX(N73:Q73,case_number)</f>
        <v>26564082.328809023</v>
      </c>
      <c r="F73" s="110" t="s">
        <v>86</v>
      </c>
      <c r="G73" s="110"/>
      <c r="K73" s="106"/>
      <c r="L73" s="103" t="s">
        <v>315</v>
      </c>
      <c r="M73" s="103"/>
      <c r="N73" s="110">
        <v>26564082.328809023</v>
      </c>
      <c r="O73" s="110">
        <v>24854535.123648729</v>
      </c>
      <c r="P73" s="110">
        <v>24627555.03568396</v>
      </c>
      <c r="Q73" s="110">
        <v>24538587.985323582</v>
      </c>
    </row>
    <row r="74" spans="2:18" ht="15.6">
      <c r="B74" s="106"/>
      <c r="C74" s="103" t="s">
        <v>314</v>
      </c>
      <c r="D74" s="103"/>
      <c r="E74" s="107" cm="1">
        <f t="array" ref="E74">INDEX(N74:Q74,case_number)</f>
        <v>19064.61660154846</v>
      </c>
      <c r="F74" s="111" t="s">
        <v>86</v>
      </c>
      <c r="G74" s="111"/>
      <c r="K74" s="106"/>
      <c r="L74" s="103" t="s">
        <v>314</v>
      </c>
      <c r="M74" s="103"/>
      <c r="N74" s="111">
        <v>19064.61660154846</v>
      </c>
      <c r="O74" s="111">
        <v>17829.687383462817</v>
      </c>
      <c r="P74" s="111">
        <v>17807.163701545032</v>
      </c>
      <c r="Q74" s="111">
        <v>17809.23919208629</v>
      </c>
    </row>
    <row r="75" spans="2:18" ht="15.6">
      <c r="B75" s="106"/>
      <c r="C75" s="103" t="s">
        <v>313</v>
      </c>
      <c r="D75" s="103"/>
      <c r="E75" s="107" cm="1">
        <f t="array" ref="E75">INDEX(N75:Q75,case_number)</f>
        <v>2930697.3626370565</v>
      </c>
      <c r="F75" s="111" t="s">
        <v>86</v>
      </c>
      <c r="G75" s="111"/>
      <c r="K75" s="106"/>
      <c r="L75" s="103" t="s">
        <v>313</v>
      </c>
      <c r="M75" s="103"/>
      <c r="N75" s="111">
        <v>2930697.3626370565</v>
      </c>
      <c r="O75" s="111">
        <v>1407034.0362689719</v>
      </c>
      <c r="P75" s="111">
        <v>1119011.3051081342</v>
      </c>
      <c r="Q75" s="111">
        <v>1003234.3358982865</v>
      </c>
    </row>
    <row r="76" spans="2:18" ht="15.6">
      <c r="B76" s="106"/>
      <c r="C76" s="105" t="s">
        <v>312</v>
      </c>
      <c r="D76" s="103"/>
      <c r="E76" s="148" cm="1">
        <f t="array" ref="E76">INDEX(N76:Q76,case_number)</f>
        <v>7.1768399019275309E-4</v>
      </c>
      <c r="F76" s="148" cm="1">
        <f t="array" aca="1" ref="F76" ca="1">INDIRECT(sheet_name&amp;"!Fs_coeff.tens.2")*1000</f>
        <v>7.3489069337807553E-4</v>
      </c>
      <c r="G76" s="118">
        <f t="shared" ref="G76:G78" ca="1" si="6">(F76-E76)/E76</f>
        <v>2.3975319807121687E-2</v>
      </c>
      <c r="K76" s="106"/>
      <c r="L76" s="105" t="s">
        <v>312</v>
      </c>
      <c r="M76" s="103"/>
      <c r="N76" s="139">
        <v>7.1768399019275309E-4</v>
      </c>
      <c r="O76" s="139">
        <v>7.1736153159823648E-4</v>
      </c>
      <c r="P76" s="139">
        <v>7.2305852837374401E-4</v>
      </c>
      <c r="Q76" s="139">
        <v>7.2576462845938463E-4</v>
      </c>
    </row>
    <row r="77" spans="2:18" ht="15.6">
      <c r="B77" s="106"/>
      <c r="C77" s="105" t="s">
        <v>311</v>
      </c>
      <c r="D77" s="103"/>
      <c r="E77" s="148" cm="1">
        <f t="array" ref="E77">INDEX(N77:Q77,case_number)</f>
        <v>0.1103255639084767</v>
      </c>
      <c r="F77" s="148" cm="1">
        <f t="array" aca="1" ref="F77" ca="1">INDIRECT(sheet_name&amp;"!Fs_coeff.tens.1")</f>
        <v>9.6110518193252462E-2</v>
      </c>
      <c r="G77" s="118">
        <f t="shared" ca="1" si="6"/>
        <v>-0.12884634541289705</v>
      </c>
      <c r="K77" s="106"/>
      <c r="L77" s="105" t="s">
        <v>311</v>
      </c>
      <c r="M77" s="103"/>
      <c r="N77" s="139">
        <v>0.1103255639084767</v>
      </c>
      <c r="O77" s="139">
        <v>5.6610756518644334E-2</v>
      </c>
      <c r="P77" s="139">
        <v>4.5437368974985494E-2</v>
      </c>
      <c r="Q77" s="139">
        <v>4.0883947214009071E-2</v>
      </c>
    </row>
    <row r="78" spans="2:18" ht="14.4">
      <c r="B78" s="106"/>
      <c r="C78" s="112" t="s">
        <v>310</v>
      </c>
      <c r="D78" s="103"/>
      <c r="E78" s="108" cm="1">
        <f t="array" ref="E78">INDEX(N78:Q78,case_number)</f>
        <v>811.67231793674671</v>
      </c>
      <c r="F78" s="107" cm="1">
        <f t="array" aca="1" ref="F78" ca="1">INDIRECT(sheet_name&amp;"!Fs_coeff.tens.0")/1000</f>
        <v>811.22913009658032</v>
      </c>
      <c r="G78" s="118">
        <f t="shared" ca="1" si="6"/>
        <v>-5.4601817799202737E-4</v>
      </c>
      <c r="K78" s="106"/>
      <c r="L78" s="112" t="s">
        <v>310</v>
      </c>
      <c r="M78" s="103"/>
      <c r="N78" s="108">
        <v>811.67231793674671</v>
      </c>
      <c r="O78" s="108">
        <v>810.05370623124679</v>
      </c>
      <c r="P78" s="108">
        <v>809.71177786358919</v>
      </c>
      <c r="Q78" s="108">
        <v>809.57208469795864</v>
      </c>
    </row>
    <row r="79" spans="2:18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367.16422952629608</v>
      </c>
      <c r="F79" s="107" cm="1">
        <f t="array" aca="1" ref="F79" ca="1">-INDIRECT(sheet_name&amp;"!DZ_gap")</f>
        <v>367.16438176962959</v>
      </c>
      <c r="G79" s="118">
        <f ca="1">(F79-E79)/E79</f>
        <v>4.1464642048336354E-7</v>
      </c>
      <c r="I79" s="141"/>
      <c r="K79" s="106">
        <f>K66+1</f>
        <v>25</v>
      </c>
      <c r="L79" s="105" t="s">
        <v>156</v>
      </c>
      <c r="M79" s="103" t="s">
        <v>128</v>
      </c>
      <c r="N79" s="107">
        <v>367.16422952629608</v>
      </c>
      <c r="O79" s="107">
        <v>179.72823837335213</v>
      </c>
      <c r="P79" s="107">
        <v>143.98598165084377</v>
      </c>
      <c r="Q79" s="107">
        <v>129.56103491512195</v>
      </c>
      <c r="R79" t="str">
        <f t="shared" ref="R79:R120" si="7">IF(H79&lt;&gt;"",H79,"")</f>
        <v/>
      </c>
    </row>
    <row r="80" spans="2:18" ht="15.6">
      <c r="B80" s="106"/>
      <c r="C80" s="103" t="s">
        <v>145</v>
      </c>
      <c r="D80" s="103" t="s">
        <v>144</v>
      </c>
      <c r="E80" s="111" cm="1">
        <f t="array" ref="E80">INDEX(N80:Q80,case_number)</f>
        <v>12462.741690022009</v>
      </c>
      <c r="F80" s="111" t="s">
        <v>86</v>
      </c>
      <c r="G80" s="111"/>
      <c r="I80" s="140"/>
      <c r="K80" s="106"/>
      <c r="L80" s="103" t="s">
        <v>145</v>
      </c>
      <c r="M80" s="103" t="s">
        <v>144</v>
      </c>
      <c r="N80" s="111">
        <v>12462.741690022009</v>
      </c>
      <c r="O80" s="111">
        <v>12462.741690022009</v>
      </c>
      <c r="P80" s="111">
        <v>12462.741690022009</v>
      </c>
      <c r="Q80" s="111">
        <v>12462.741690022009</v>
      </c>
      <c r="R80" t="str">
        <f t="shared" si="7"/>
        <v/>
      </c>
    </row>
    <row r="81" spans="2:18" ht="16.8">
      <c r="B81" s="106"/>
      <c r="C81" s="103" t="s">
        <v>143</v>
      </c>
      <c r="D81" s="103" t="s">
        <v>274</v>
      </c>
      <c r="E81" s="114" cm="1">
        <f t="array" ref="E81">INDEX(N81:Q81,case_number)</f>
        <v>16227528.242216157</v>
      </c>
      <c r="F81" s="114" cm="1">
        <f t="array" aca="1" ref="F81" ca="1">INDIRECT(sheet_name&amp;"!I_tg")</f>
        <v>16227528.242216157</v>
      </c>
      <c r="G81" s="118">
        <f t="shared" ref="G81:G83" ca="1" si="8">(F81-E81)/E81</f>
        <v>0</v>
      </c>
      <c r="I81" s="140"/>
      <c r="K81" s="106"/>
      <c r="L81" s="103" t="s">
        <v>143</v>
      </c>
      <c r="M81" s="103" t="s">
        <v>274</v>
      </c>
      <c r="N81" s="138">
        <v>16227528.242216157</v>
      </c>
      <c r="O81" s="138">
        <v>16227528.242216157</v>
      </c>
      <c r="P81" s="138">
        <v>16227528.242216157</v>
      </c>
      <c r="Q81" s="138">
        <v>16227528.242216157</v>
      </c>
      <c r="R81" t="str">
        <f t="shared" si="7"/>
        <v/>
      </c>
    </row>
    <row r="82" spans="2:18" ht="15.6">
      <c r="B82" s="106"/>
      <c r="C82" s="103" t="s">
        <v>149</v>
      </c>
      <c r="D82" s="103" t="s">
        <v>144</v>
      </c>
      <c r="E82" s="111" cm="1">
        <f t="array" ref="E82">INDEX(N82:Q82,case_number)</f>
        <v>31875</v>
      </c>
      <c r="F82" s="111" cm="1">
        <f t="array" aca="1" ref="F82" ca="1">INDIRECT(sheet_name&amp;"!flange.A_cf")</f>
        <v>31875.000000000004</v>
      </c>
      <c r="G82" s="118">
        <f t="shared" ca="1" si="8"/>
        <v>1.1413266845777923E-16</v>
      </c>
      <c r="I82" s="140"/>
      <c r="K82" s="106"/>
      <c r="L82" s="103" t="s">
        <v>149</v>
      </c>
      <c r="M82" s="103" t="s">
        <v>144</v>
      </c>
      <c r="N82" s="111">
        <v>31875</v>
      </c>
      <c r="O82" s="111">
        <v>31875</v>
      </c>
      <c r="P82" s="111">
        <v>31875</v>
      </c>
      <c r="Q82" s="111">
        <v>31875</v>
      </c>
      <c r="R82" t="str">
        <f t="shared" si="7"/>
        <v/>
      </c>
    </row>
    <row r="83" spans="2:18" ht="16.8">
      <c r="B83" s="106"/>
      <c r="C83" s="103" t="s">
        <v>148</v>
      </c>
      <c r="D83" s="103" t="s">
        <v>274</v>
      </c>
      <c r="E83" s="114" cm="1">
        <f t="array" ref="E83">INDEX(N83:Q83,case_number)</f>
        <v>41503906.25</v>
      </c>
      <c r="F83" s="114" cm="1">
        <f t="array" aca="1" ref="F83" ca="1">INDIRECT(sheet_name&amp;"!flange.I_cf")</f>
        <v>41503906.249999993</v>
      </c>
      <c r="G83" s="118">
        <f t="shared" ca="1" si="8"/>
        <v>-1.7951516544117647E-16</v>
      </c>
      <c r="I83" s="140"/>
      <c r="K83" s="106"/>
      <c r="L83" s="103" t="s">
        <v>148</v>
      </c>
      <c r="M83" s="103" t="s">
        <v>274</v>
      </c>
      <c r="N83" s="138">
        <v>41503906.25</v>
      </c>
      <c r="O83" s="138">
        <v>41503906.25</v>
      </c>
      <c r="P83" s="138">
        <v>41503906.25</v>
      </c>
      <c r="Q83" s="138">
        <v>41503906.25</v>
      </c>
      <c r="R83" t="str">
        <f t="shared" si="7"/>
        <v/>
      </c>
    </row>
    <row r="84" spans="2:18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9470.7416620040567</v>
      </c>
      <c r="F84" s="111" cm="1">
        <f t="array" aca="1" ref="F84" ca="1">INDIRECT(sheet_name&amp;"!gap.stiffness")</f>
        <v>9470.745589013166</v>
      </c>
      <c r="G84" s="118">
        <f ca="1">(F84-E84)/E84</f>
        <v>4.1464641834783376E-7</v>
      </c>
      <c r="I84" s="140"/>
      <c r="K84" s="106">
        <f>K79+1</f>
        <v>26</v>
      </c>
      <c r="L84" s="103" t="s">
        <v>155</v>
      </c>
      <c r="M84" s="103" t="s">
        <v>135</v>
      </c>
      <c r="N84" s="111">
        <v>9470.7416620040567</v>
      </c>
      <c r="O84" s="111">
        <v>2671.4954317364864</v>
      </c>
      <c r="P84" s="111">
        <v>1383.7114904903785</v>
      </c>
      <c r="Q84" s="111">
        <v>864.58584624042021</v>
      </c>
      <c r="R84" t="str">
        <f t="shared" si="7"/>
        <v/>
      </c>
    </row>
    <row r="85" spans="2:18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2762.8420208404168</v>
      </c>
      <c r="F85" s="111" t="s">
        <v>86</v>
      </c>
      <c r="G85" s="111"/>
      <c r="H85" t="s">
        <v>154</v>
      </c>
      <c r="I85" s="140"/>
      <c r="K85" s="106">
        <f>K84+1</f>
        <v>27</v>
      </c>
      <c r="L85" s="103" t="s">
        <v>152</v>
      </c>
      <c r="M85" s="103" t="s">
        <v>135</v>
      </c>
      <c r="N85" s="111">
        <v>2762.8420208404168</v>
      </c>
      <c r="O85" s="111">
        <v>1041.2419008380168</v>
      </c>
      <c r="P85" s="111">
        <v>512.00952619052384</v>
      </c>
      <c r="Q85" s="111">
        <v>278.26526530530617</v>
      </c>
      <c r="R85" t="str">
        <f t="shared" si="7"/>
        <v>Interpolated value</v>
      </c>
    </row>
    <row r="86" spans="2:18" ht="15.6">
      <c r="B86" s="106"/>
      <c r="C86" s="103" t="s">
        <v>152</v>
      </c>
      <c r="D86" s="103" t="s">
        <v>135</v>
      </c>
      <c r="E86" s="111" cm="1">
        <f t="array" ref="E86">INDEX(N86:Q86,case_number)</f>
        <v>2873.9789957155294</v>
      </c>
      <c r="F86" s="111" cm="1">
        <f t="array" aca="1" ref="F86" ca="1">INDIRECT(sheet_name&amp;"!gap.k_shell")</f>
        <v>2873.978995715529</v>
      </c>
      <c r="G86" s="118">
        <f ca="1">(F86-E86)/E86</f>
        <v>-1.5822918384733931E-16</v>
      </c>
      <c r="H86" t="s">
        <v>153</v>
      </c>
      <c r="I86" s="140"/>
      <c r="K86" s="106"/>
      <c r="L86" s="103" t="s">
        <v>152</v>
      </c>
      <c r="M86" s="103" t="s">
        <v>135</v>
      </c>
      <c r="N86" s="111">
        <v>2873.9789957155294</v>
      </c>
      <c r="O86" s="111">
        <v>1117.5739946902522</v>
      </c>
      <c r="P86" s="111">
        <v>609.55648707118451</v>
      </c>
      <c r="Q86" s="111">
        <v>386.82104021159915</v>
      </c>
      <c r="R86" t="str">
        <f t="shared" si="7"/>
        <v>Simplified formula</v>
      </c>
    </row>
    <row r="87" spans="2:18" ht="15.6">
      <c r="B87" s="106"/>
      <c r="C87" s="103" t="s">
        <v>152</v>
      </c>
      <c r="D87" s="103" t="s">
        <v>135</v>
      </c>
      <c r="E87" s="111" cm="1">
        <f t="array" ref="E87">INDEX(N87:Q87,case_number)</f>
        <v>2873.9789957155294</v>
      </c>
      <c r="F87" s="111" cm="1">
        <f t="array" aca="1" ref="F87" ca="1">INDIRECT(sheet_name&amp;"!gap.k_shell")</f>
        <v>2873.978995715529</v>
      </c>
      <c r="G87" s="118">
        <f ca="1">(F87-E87)/E87</f>
        <v>-1.5822918384733931E-16</v>
      </c>
      <c r="H87" t="s">
        <v>151</v>
      </c>
      <c r="I87" s="140"/>
      <c r="K87" s="106"/>
      <c r="L87" s="103" t="s">
        <v>152</v>
      </c>
      <c r="M87" s="103" t="s">
        <v>135</v>
      </c>
      <c r="N87" s="111">
        <v>2873.9789957155294</v>
      </c>
      <c r="O87" s="111">
        <v>1117.5739946902522</v>
      </c>
      <c r="P87" s="111">
        <v>609.55648707118451</v>
      </c>
      <c r="Q87" s="111">
        <v>386.82104021159915</v>
      </c>
      <c r="R87" t="str">
        <f t="shared" si="7"/>
        <v>Value used</v>
      </c>
    </row>
    <row r="88" spans="2:18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1.8202477434344697</v>
      </c>
      <c r="F88" s="109" cm="1">
        <f t="array" aca="1" ref="F88" ca="1">INDIRECT(sheet_name&amp;"!gap.k_fac")</f>
        <v>1.8202477434344697</v>
      </c>
      <c r="G88" s="118">
        <f ca="1">(F88-E88)/E88</f>
        <v>0</v>
      </c>
      <c r="I88" s="140"/>
      <c r="K88" s="106">
        <f>K85+1</f>
        <v>28</v>
      </c>
      <c r="L88" s="103" t="s">
        <v>150</v>
      </c>
      <c r="M88" s="103" t="s">
        <v>123</v>
      </c>
      <c r="N88" s="109">
        <v>1.8202477434344697</v>
      </c>
      <c r="O88" s="109">
        <v>2.3404954868689396</v>
      </c>
      <c r="P88" s="109">
        <v>2.8607432303034095</v>
      </c>
      <c r="Q88" s="109">
        <v>3.3809909737378794</v>
      </c>
      <c r="R88" t="str">
        <f t="shared" si="7"/>
        <v/>
      </c>
    </row>
    <row r="89" spans="2:18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1430.9035779226776</v>
      </c>
      <c r="F89" s="107" cm="1">
        <f t="array" aca="1" ref="F89" ca="1">INDIRECT(sheet_name&amp;"!gap.k_fl")</f>
        <v>1430.9053629268196</v>
      </c>
      <c r="G89" s="118">
        <f ca="1">(F89-E89)/E89</f>
        <v>1.2474664048186463E-6</v>
      </c>
      <c r="I89" s="140"/>
      <c r="K89" s="106">
        <f>K88+1</f>
        <v>29</v>
      </c>
      <c r="L89" s="103" t="s">
        <v>147</v>
      </c>
      <c r="M89" s="103" t="s">
        <v>135</v>
      </c>
      <c r="N89" s="107">
        <v>1430.9035779226776</v>
      </c>
      <c r="O89" s="107">
        <v>96.742110644514142</v>
      </c>
      <c r="P89" s="107">
        <v>19.403281333533013</v>
      </c>
      <c r="Q89" s="107">
        <v>6.1725262613190992</v>
      </c>
      <c r="R89" t="str">
        <f t="shared" si="7"/>
        <v/>
      </c>
    </row>
    <row r="90" spans="2:18" ht="15.6">
      <c r="B90" s="106">
        <f>B89+1</f>
        <v>30</v>
      </c>
      <c r="C90" s="105" t="s">
        <v>146</v>
      </c>
      <c r="D90" s="103" t="s">
        <v>128</v>
      </c>
      <c r="E90" s="110" cm="1">
        <f t="array" ref="E90">INDEX(N90:Q90,case_number)</f>
        <v>97.911398460104465</v>
      </c>
      <c r="F90" s="110" t="s">
        <v>86</v>
      </c>
      <c r="G90" s="104"/>
      <c r="H90" t="s">
        <v>308</v>
      </c>
      <c r="I90" s="141"/>
      <c r="K90" s="106">
        <f>K89+1</f>
        <v>30</v>
      </c>
      <c r="L90" s="105" t="s">
        <v>146</v>
      </c>
      <c r="M90" s="103" t="s">
        <v>128</v>
      </c>
      <c r="N90" s="107">
        <v>97.911398460104465</v>
      </c>
      <c r="O90" s="107">
        <v>108.16711898645032</v>
      </c>
      <c r="P90" s="107">
        <v>110.332215339211</v>
      </c>
      <c r="Q90" s="107">
        <v>111.22700155817159</v>
      </c>
      <c r="R90" t="str">
        <f t="shared" si="7"/>
        <v>(valid in case T-Flange is calculated)</v>
      </c>
    </row>
    <row r="91" spans="2:18" ht="15.6">
      <c r="B91" s="106">
        <f>B90+1</f>
        <v>31</v>
      </c>
      <c r="C91" s="103" t="s">
        <v>142</v>
      </c>
      <c r="D91" s="103" t="s">
        <v>128</v>
      </c>
      <c r="E91" s="110" cm="1">
        <f t="array" ref="E91">INDEX(N91:Q91,case_number)</f>
        <v>148.09719855410455</v>
      </c>
      <c r="F91" s="110" t="s">
        <v>86</v>
      </c>
      <c r="G91" s="104"/>
      <c r="H91" t="s">
        <v>308</v>
      </c>
      <c r="I91" s="140"/>
      <c r="K91" s="106">
        <f>K90+1</f>
        <v>31</v>
      </c>
      <c r="L91" s="103" t="s">
        <v>142</v>
      </c>
      <c r="M91" s="103" t="s">
        <v>128</v>
      </c>
      <c r="N91" s="107">
        <v>148.09719855410455</v>
      </c>
      <c r="O91" s="107">
        <v>78.871085001270089</v>
      </c>
      <c r="P91" s="107">
        <v>64.256684620135459</v>
      </c>
      <c r="Q91" s="107">
        <v>58.216877642151466</v>
      </c>
      <c r="R91" t="str">
        <f t="shared" si="7"/>
        <v>(valid in case T-Flange is calculated)</v>
      </c>
    </row>
    <row r="92" spans="2:18" ht="15.6">
      <c r="B92" s="106"/>
      <c r="C92" s="105" t="s">
        <v>141</v>
      </c>
      <c r="D92" s="103" t="s">
        <v>128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141</v>
      </c>
      <c r="M92" s="103" t="s">
        <v>128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7"/>
        <v>Inclination used: 0deg</v>
      </c>
    </row>
    <row r="93" spans="2:18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367.16422952629608</v>
      </c>
      <c r="F93" s="107" cm="1">
        <f t="array" aca="1" ref="F93" ca="1">-INDIRECT(sheet_name&amp;"!DZ_gap_tot")</f>
        <v>367.16438176962959</v>
      </c>
      <c r="G93" s="107"/>
      <c r="I93" s="141"/>
      <c r="K93" s="106">
        <f>K91+1</f>
        <v>32</v>
      </c>
      <c r="L93" s="105" t="s">
        <v>140</v>
      </c>
      <c r="M93" s="103" t="s">
        <v>128</v>
      </c>
      <c r="N93" s="107">
        <v>367.16422952629608</v>
      </c>
      <c r="O93" s="107">
        <v>179.72823837335213</v>
      </c>
      <c r="P93" s="107">
        <v>143.98598165084377</v>
      </c>
      <c r="Q93" s="107">
        <v>129.56103491512195</v>
      </c>
      <c r="R93" t="str">
        <f t="shared" si="7"/>
        <v/>
      </c>
    </row>
    <row r="94" spans="2:18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1103.1006982045617</v>
      </c>
      <c r="F94" s="107" t="s">
        <v>86</v>
      </c>
      <c r="G94" s="118"/>
      <c r="I94" s="140"/>
      <c r="K94" s="106">
        <f>K93+1</f>
        <v>33</v>
      </c>
      <c r="L94" s="103" t="s">
        <v>139</v>
      </c>
      <c r="M94" s="103" t="s">
        <v>128</v>
      </c>
      <c r="N94" s="107">
        <v>1103.1006982045617</v>
      </c>
      <c r="O94" s="107">
        <v>1103.1006982045617</v>
      </c>
      <c r="P94" s="107">
        <v>1103.1006982045617</v>
      </c>
      <c r="Q94" s="107">
        <v>1103.1006982045617</v>
      </c>
      <c r="R94" t="str">
        <f t="shared" si="7"/>
        <v/>
      </c>
    </row>
    <row r="95" spans="2:18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717.20546202762773</v>
      </c>
      <c r="F95" s="108" cm="1">
        <f t="array" aca="1" ref="F95" ca="1">INDIRECT(sheet_name&amp;"!Z0")</f>
        <v>717.20125513582855</v>
      </c>
      <c r="G95" s="118">
        <f ca="1">(F95-E95)/E95</f>
        <v>-5.8656717243788727E-6</v>
      </c>
      <c r="H95" t="s">
        <v>309</v>
      </c>
      <c r="I95" s="140"/>
      <c r="K95" s="106">
        <f>K94+1</f>
        <v>34</v>
      </c>
      <c r="L95" s="103" t="s">
        <v>138</v>
      </c>
      <c r="M95" s="103" t="s">
        <v>128</v>
      </c>
      <c r="N95" s="107">
        <v>717.20546202762773</v>
      </c>
      <c r="O95" s="107">
        <v>717.20546202762773</v>
      </c>
      <c r="P95" s="107">
        <v>717.20546202762773</v>
      </c>
      <c r="Q95" s="107">
        <v>717.20546202762773</v>
      </c>
      <c r="R95" t="str">
        <f t="shared" si="7"/>
        <v>(valid in case L-Flange is calculated)</v>
      </c>
    </row>
    <row r="96" spans="2:18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717.20546202762773</v>
      </c>
      <c r="F96" s="110" t="s">
        <v>86</v>
      </c>
      <c r="G96" s="104"/>
      <c r="H96" t="s">
        <v>308</v>
      </c>
      <c r="I96" s="140"/>
      <c r="K96" s="106">
        <f>K95+1</f>
        <v>35</v>
      </c>
      <c r="L96" s="103" t="s">
        <v>138</v>
      </c>
      <c r="M96" s="103" t="s">
        <v>128</v>
      </c>
      <c r="N96" s="108">
        <v>717.20546202762773</v>
      </c>
      <c r="O96" s="108">
        <v>717.20546202762773</v>
      </c>
      <c r="P96" s="108">
        <v>717.20546202762773</v>
      </c>
      <c r="Q96" s="108">
        <v>717.20546202762773</v>
      </c>
      <c r="R96" t="str">
        <f t="shared" si="7"/>
        <v>(valid in case T-Flange is calculated)</v>
      </c>
    </row>
    <row r="97" spans="2:18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1.6140700265708123</v>
      </c>
      <c r="F97" s="109" cm="1">
        <f t="array" aca="1" ref="F97" ca="1">INDIRECT(sheet_name&amp;"!stiffness_correction_factor")</f>
        <v>1.6232413887879464</v>
      </c>
      <c r="G97" s="118">
        <f ca="1">(F97-E97)/E97</f>
        <v>5.6821340252623418E-3</v>
      </c>
      <c r="I97" s="141"/>
      <c r="K97" s="106">
        <f>K96+1</f>
        <v>36</v>
      </c>
      <c r="L97" s="105" t="s">
        <v>137</v>
      </c>
      <c r="M97" s="103" t="s">
        <v>123</v>
      </c>
      <c r="N97" s="109">
        <v>1.6140700265708123</v>
      </c>
      <c r="O97" s="109">
        <v>1.1180091772580059</v>
      </c>
      <c r="P97" s="109">
        <v>1.0577935599521713</v>
      </c>
      <c r="Q97" s="109">
        <v>1.0353432238786298</v>
      </c>
      <c r="R97" t="str">
        <f t="shared" si="7"/>
        <v/>
      </c>
    </row>
    <row r="98" spans="2:18">
      <c r="B98" s="106"/>
      <c r="C98" s="105" t="s">
        <v>273</v>
      </c>
      <c r="D98" s="103" t="s">
        <v>126</v>
      </c>
      <c r="E98" s="107" cm="1">
        <f t="array" ref="E98">INDEX(N98:Q98,case_number)</f>
        <v>99.70193352017607</v>
      </c>
      <c r="F98" s="107" t="s">
        <v>86</v>
      </c>
      <c r="G98" s="118"/>
      <c r="I98" s="141"/>
      <c r="K98" s="106"/>
      <c r="L98" s="105" t="s">
        <v>273</v>
      </c>
      <c r="M98" s="103" t="s">
        <v>126</v>
      </c>
      <c r="N98" s="107">
        <v>99.70193352017607</v>
      </c>
      <c r="O98" s="107">
        <v>99.70193352017607</v>
      </c>
      <c r="P98" s="107">
        <v>99.70193352017607</v>
      </c>
      <c r="Q98" s="107">
        <v>99.70193352017607</v>
      </c>
      <c r="R98" t="str">
        <f t="shared" si="7"/>
        <v/>
      </c>
    </row>
    <row r="99" spans="2:18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15422.901708608186</v>
      </c>
      <c r="F99" s="107" cm="1">
        <f t="array" aca="1" ref="F99" ca="1">INDIRECT(sheet_name&amp;"!k_seg")</f>
        <v>15195.950974038284</v>
      </c>
      <c r="G99" s="118">
        <f ca="1">(F99-E99)/E99</f>
        <v>-1.4715177393838355E-2</v>
      </c>
      <c r="I99" s="140"/>
      <c r="K99" s="106">
        <f>K97+1</f>
        <v>37</v>
      </c>
      <c r="L99" s="103" t="s">
        <v>136</v>
      </c>
      <c r="M99" s="103" t="s">
        <v>135</v>
      </c>
      <c r="N99" s="107">
        <v>15422.901708608186</v>
      </c>
      <c r="O99" s="107">
        <v>22638.031158337315</v>
      </c>
      <c r="P99" s="107">
        <v>23942.312805016805</v>
      </c>
      <c r="Q99" s="107">
        <v>24462.563155230189</v>
      </c>
      <c r="R99" t="str">
        <f t="shared" si="7"/>
        <v/>
      </c>
    </row>
    <row r="100" spans="2:18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350.04123250133165</v>
      </c>
      <c r="F100" s="111" cm="1">
        <f t="array" aca="1" ref="F100" ca="1">ROUND(INDIRECT(sheet_name&amp;"!Z_2_td"),0)</f>
        <v>350</v>
      </c>
      <c r="G100" s="118">
        <f ca="1">(F100-E100)/E100</f>
        <v>-1.1779326977284642E-4</v>
      </c>
      <c r="I100" s="140"/>
      <c r="K100" s="106">
        <f>K99+1</f>
        <v>38</v>
      </c>
      <c r="L100" s="103" t="s">
        <v>134</v>
      </c>
      <c r="M100" s="103" t="s">
        <v>128</v>
      </c>
      <c r="N100" s="111">
        <v>350.04123250133165</v>
      </c>
      <c r="O100" s="111">
        <v>537.47722365427558</v>
      </c>
      <c r="P100" s="111">
        <v>573.21948037678396</v>
      </c>
      <c r="Q100" s="111">
        <v>587.64442711250581</v>
      </c>
      <c r="R100" t="str">
        <f t="shared" si="7"/>
        <v/>
      </c>
    </row>
    <row r="101" spans="2:18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0.22764050105793851</v>
      </c>
      <c r="F101" s="109" cm="1">
        <f t="array" aca="1" ref="F101" ca="1">INDIRECT(sheet_name&amp;"!u")</f>
        <v>0.231037422866266</v>
      </c>
      <c r="G101" s="118">
        <f ca="1">(F101-E101)/E101</f>
        <v>1.4922308607390163E-2</v>
      </c>
      <c r="H101" t="s">
        <v>309</v>
      </c>
      <c r="I101" s="140"/>
      <c r="K101" s="106">
        <f>K100+1</f>
        <v>39</v>
      </c>
      <c r="L101" s="103" t="s">
        <v>1</v>
      </c>
      <c r="M101" s="103" t="s">
        <v>126</v>
      </c>
      <c r="N101" s="109">
        <v>0.22764050105793851</v>
      </c>
      <c r="O101" s="109">
        <v>0.23813203928485391</v>
      </c>
      <c r="P101" s="109">
        <v>0.2401326756109608</v>
      </c>
      <c r="Q101" s="109">
        <v>0.24094009727618171</v>
      </c>
      <c r="R101" t="str">
        <f t="shared" si="7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0.22764050105793851</v>
      </c>
      <c r="F102" s="104"/>
      <c r="G102" s="104"/>
      <c r="H102" t="s">
        <v>308</v>
      </c>
      <c r="I102" s="140"/>
      <c r="K102" s="106">
        <f>K101+1</f>
        <v>40</v>
      </c>
      <c r="L102" s="103" t="s">
        <v>1</v>
      </c>
      <c r="M102" s="103" t="s">
        <v>126</v>
      </c>
      <c r="N102" s="109">
        <v>0.22764050105793851</v>
      </c>
      <c r="O102" s="109">
        <v>0.23813203928485391</v>
      </c>
      <c r="P102" s="109">
        <v>0.2401326756109608</v>
      </c>
      <c r="Q102" s="109">
        <v>0.24094009727618171</v>
      </c>
      <c r="R102" t="str">
        <f t="shared" si="7"/>
        <v>(valid in case T-Flange is calculated)</v>
      </c>
    </row>
    <row r="103" spans="2:18" ht="15.6">
      <c r="B103" s="106"/>
      <c r="C103" s="103" t="s">
        <v>133</v>
      </c>
      <c r="D103" s="103" t="s">
        <v>128</v>
      </c>
      <c r="E103" s="110" cm="1">
        <f t="array" ref="E103">INDEX(N103:Q103,case_number)</f>
        <v>4340</v>
      </c>
      <c r="F103" s="110" t="s">
        <v>86</v>
      </c>
      <c r="G103" s="110"/>
      <c r="I103" s="140"/>
      <c r="K103" s="106"/>
      <c r="L103" s="103" t="s">
        <v>133</v>
      </c>
      <c r="M103" s="103" t="s">
        <v>128</v>
      </c>
      <c r="N103" s="110">
        <v>4340</v>
      </c>
      <c r="O103" s="110">
        <v>4340</v>
      </c>
      <c r="P103" s="110">
        <v>4340</v>
      </c>
      <c r="Q103" s="110">
        <v>4340</v>
      </c>
      <c r="R103" t="str">
        <f t="shared" si="7"/>
        <v/>
      </c>
    </row>
    <row r="104" spans="2:18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-30.138888888888889</v>
      </c>
      <c r="F104" s="107" cm="1">
        <f t="array" aca="1" ref="F104" ca="1">INDIRECT(sheet_name&amp;"!Z_dw")</f>
        <v>-30.138999999999999</v>
      </c>
      <c r="G104" s="118">
        <f ca="1">(F104-E104)/E104</f>
        <v>3.6866359446656738E-6</v>
      </c>
      <c r="I104" s="141"/>
      <c r="K104" s="106">
        <f>K102+1</f>
        <v>41</v>
      </c>
      <c r="L104" s="105" t="s">
        <v>132</v>
      </c>
      <c r="M104" s="103" t="s">
        <v>128</v>
      </c>
      <c r="N104" s="107">
        <v>-30.138888888888889</v>
      </c>
      <c r="O104" s="107">
        <v>-30.138888888888889</v>
      </c>
      <c r="P104" s="107">
        <v>-30.138888888888889</v>
      </c>
      <c r="Q104" s="107">
        <v>-30.138888888888889</v>
      </c>
      <c r="R104" t="str">
        <f t="shared" si="7"/>
        <v/>
      </c>
    </row>
    <row r="105" spans="2:18">
      <c r="B105" s="106">
        <f t="shared" ref="B105:B112" si="9">B104+1</f>
        <v>42</v>
      </c>
      <c r="D105" s="103"/>
      <c r="E105" s="110"/>
      <c r="F105" s="104"/>
      <c r="G105" s="104"/>
      <c r="K105" s="106">
        <f t="shared" ref="K105:K112" si="10">K104+1</f>
        <v>42</v>
      </c>
      <c r="M105" s="103"/>
      <c r="N105" s="104"/>
      <c r="O105" s="104"/>
      <c r="P105" s="104"/>
      <c r="Q105" s="104"/>
      <c r="R105" t="str">
        <f t="shared" si="7"/>
        <v/>
      </c>
    </row>
    <row r="106" spans="2:18" ht="15.6">
      <c r="B106" s="106">
        <f t="shared" si="9"/>
        <v>43</v>
      </c>
      <c r="C106" s="103" t="s">
        <v>131</v>
      </c>
      <c r="D106" s="103" t="s">
        <v>128</v>
      </c>
      <c r="E106" s="107" cm="1">
        <f t="array" ref="E106">INDEX(N106:Q106,case_number)</f>
        <v>-397.303118415185</v>
      </c>
      <c r="F106" s="107" cm="1">
        <f t="array" aca="1" ref="F106" ca="1">INDIRECT(sheet_name&amp;"!point4.Z")</f>
        <v>-397.3033817696296</v>
      </c>
      <c r="G106" s="118">
        <f ca="1">(F106-E106)/E106</f>
        <v>6.6285521656352827E-7</v>
      </c>
      <c r="I106" s="103"/>
      <c r="K106" s="106">
        <f t="shared" si="10"/>
        <v>43</v>
      </c>
      <c r="L106" s="103" t="s">
        <v>131</v>
      </c>
      <c r="M106" s="103" t="s">
        <v>128</v>
      </c>
      <c r="N106" s="107">
        <v>-397.303118415185</v>
      </c>
      <c r="O106" s="107">
        <v>-209.86712726224101</v>
      </c>
      <c r="P106" s="107">
        <v>-174.12487053973265</v>
      </c>
      <c r="Q106" s="107">
        <v>-159.69992380401084</v>
      </c>
      <c r="R106" t="str">
        <f t="shared" si="7"/>
        <v/>
      </c>
    </row>
    <row r="107" spans="2:18" ht="15.6">
      <c r="B107" s="106">
        <f t="shared" si="9"/>
        <v>44</v>
      </c>
      <c r="C107" s="105" t="s">
        <v>130</v>
      </c>
      <c r="D107" s="103" t="s">
        <v>123</v>
      </c>
      <c r="E107" s="113" cm="1">
        <f t="array" ref="E107">INDEX(N107:Q107,case_number)</f>
        <v>6.7136936231689967E-2</v>
      </c>
      <c r="F107" s="113" cm="1">
        <f t="array" aca="1" ref="F107" ca="1">INDIRECT(sheet_name&amp;"!true_force_initial_slope")</f>
        <v>5.1812776977808825E-2</v>
      </c>
      <c r="G107" s="118">
        <f ca="1">(F107-E107)/E107</f>
        <v>-0.22825228725060343</v>
      </c>
      <c r="I107" s="105"/>
      <c r="K107" s="106">
        <f t="shared" si="10"/>
        <v>44</v>
      </c>
      <c r="L107" s="105" t="s">
        <v>130</v>
      </c>
      <c r="M107" s="103" t="s">
        <v>123</v>
      </c>
      <c r="N107" s="109">
        <v>6.7136936231689967E-2</v>
      </c>
      <c r="O107" s="109">
        <v>1.3441533684499327E-2</v>
      </c>
      <c r="P107" s="109">
        <v>1.9253135360486067E-3</v>
      </c>
      <c r="Q107" s="109">
        <v>-2.7909553159588146E-3</v>
      </c>
      <c r="R107" t="str">
        <f t="shared" si="7"/>
        <v/>
      </c>
    </row>
    <row r="108" spans="2:18" ht="15.6">
      <c r="B108" s="106">
        <f t="shared" si="9"/>
        <v>45</v>
      </c>
      <c r="C108" s="103" t="s">
        <v>129</v>
      </c>
      <c r="D108" s="103" t="s">
        <v>128</v>
      </c>
      <c r="E108" s="108" cm="1">
        <f t="array" ref="E108">INDEX(N108:Q108,case_number)</f>
        <v>796.67399742767748</v>
      </c>
      <c r="F108" s="108" cm="1">
        <f t="array" aca="1" ref="F108" ca="1">INDIRECT(sheet_name&amp;"!point4.Fs")</f>
        <v>799.48809688658753</v>
      </c>
      <c r="G108" s="118">
        <f ca="1">(F108-E108)/E108</f>
        <v>3.5323099134605754E-3</v>
      </c>
      <c r="I108" s="103"/>
      <c r="K108" s="106">
        <f t="shared" si="10"/>
        <v>45</v>
      </c>
      <c r="L108" s="103" t="s">
        <v>129</v>
      </c>
      <c r="M108" s="103" t="s">
        <v>128</v>
      </c>
      <c r="N108" s="108">
        <v>796.67399742767748</v>
      </c>
      <c r="O108" s="108">
        <v>807.79122657473408</v>
      </c>
      <c r="P108" s="108">
        <v>808.86052908007298</v>
      </c>
      <c r="Q108" s="108">
        <v>809.17993768937845</v>
      </c>
      <c r="R108" t="str">
        <f t="shared" si="7"/>
        <v/>
      </c>
    </row>
    <row r="109" spans="2:18" ht="15.6">
      <c r="B109" s="106">
        <f t="shared" si="9"/>
        <v>46</v>
      </c>
      <c r="C109" s="105" t="s">
        <v>127</v>
      </c>
      <c r="D109" s="103" t="s">
        <v>123</v>
      </c>
      <c r="E109" s="110" cm="1">
        <f t="array" ref="E109">INDEX(N109:Q109,case_number)</f>
        <v>0.13023562713515596</v>
      </c>
      <c r="F109" s="104"/>
      <c r="G109" s="104"/>
      <c r="H109" t="s">
        <v>309</v>
      </c>
      <c r="I109" s="105"/>
      <c r="K109" s="106">
        <f t="shared" si="10"/>
        <v>46</v>
      </c>
      <c r="L109" s="105" t="s">
        <v>127</v>
      </c>
      <c r="M109" s="103" t="s">
        <v>123</v>
      </c>
      <c r="N109" s="113">
        <v>0.13023562713515596</v>
      </c>
      <c r="O109" s="113">
        <v>6.375081763452102E-2</v>
      </c>
      <c r="P109" s="113">
        <v>5.1072798249334042E-2</v>
      </c>
      <c r="Q109" s="113">
        <v>4.5956172408789291E-2</v>
      </c>
      <c r="R109" t="str">
        <f t="shared" si="7"/>
        <v>(valid in case L-Flange is calculated)</v>
      </c>
    </row>
    <row r="110" spans="2:18" ht="15.6">
      <c r="B110" s="106">
        <f t="shared" si="9"/>
        <v>47</v>
      </c>
      <c r="C110" s="105" t="s">
        <v>127</v>
      </c>
      <c r="D110" s="103" t="s">
        <v>123</v>
      </c>
      <c r="E110" s="110" cm="1">
        <f t="array" ref="E110">INDEX(N110:Q110,case_number)</f>
        <v>0.13023562713515596</v>
      </c>
      <c r="F110" s="104"/>
      <c r="G110" s="104"/>
      <c r="H110" t="s">
        <v>308</v>
      </c>
      <c r="I110" s="105"/>
      <c r="K110" s="106">
        <f t="shared" si="10"/>
        <v>47</v>
      </c>
      <c r="L110" s="105" t="s">
        <v>127</v>
      </c>
      <c r="M110" s="103" t="s">
        <v>123</v>
      </c>
      <c r="N110" s="113">
        <v>0.13023562713515596</v>
      </c>
      <c r="O110" s="113">
        <v>6.375081763452102E-2</v>
      </c>
      <c r="P110" s="113">
        <v>5.1072798249334042E-2</v>
      </c>
      <c r="Q110" s="113">
        <v>4.5956172408789291E-2</v>
      </c>
      <c r="R110" t="str">
        <f t="shared" si="7"/>
        <v>(valid in case T-Flange is calculated)</v>
      </c>
    </row>
    <row r="111" spans="2:18" ht="15.6">
      <c r="B111" s="106">
        <f t="shared" si="9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272</v>
      </c>
      <c r="I111" s="105"/>
      <c r="K111" s="106">
        <f t="shared" si="10"/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tr">
        <f t="shared" si="7"/>
        <v>Bending moment L-Flange as a function of external force Z</v>
      </c>
    </row>
    <row r="112" spans="2:18">
      <c r="B112" s="106">
        <f t="shared" si="9"/>
        <v>49</v>
      </c>
      <c r="C112" s="105" t="s">
        <v>2</v>
      </c>
      <c r="D112" s="103" t="s">
        <v>126</v>
      </c>
      <c r="E112" s="107" cm="1">
        <f t="array" ref="E112">INDEX(N112:Q112,case_number)</f>
        <v>74.341986610976164</v>
      </c>
      <c r="F112" s="107" cm="1">
        <f t="array" aca="1" ref="F112" ca="1">INDIRECT(sheet_name&amp;"!a_star")</f>
        <v>74.341986610976122</v>
      </c>
      <c r="G112" s="118">
        <f ca="1">(F112-E112)/E112</f>
        <v>-5.7346549492546867E-16</v>
      </c>
      <c r="I112" s="105"/>
      <c r="K112" s="106">
        <f t="shared" si="10"/>
        <v>49</v>
      </c>
      <c r="L112" s="105" t="s">
        <v>2</v>
      </c>
      <c r="M112" s="103" t="s">
        <v>126</v>
      </c>
      <c r="N112" s="107">
        <v>74.341986610976164</v>
      </c>
      <c r="O112" s="107">
        <v>74.341986610976164</v>
      </c>
      <c r="P112" s="107">
        <v>74.341986610976164</v>
      </c>
      <c r="Q112" s="107">
        <v>74.341986610976164</v>
      </c>
      <c r="R112" t="str">
        <f t="shared" si="7"/>
        <v/>
      </c>
    </row>
    <row r="113" spans="2:18" ht="15.6">
      <c r="B113" s="106"/>
      <c r="C113" s="105" t="s">
        <v>270</v>
      </c>
      <c r="D113" s="103" t="s">
        <v>269</v>
      </c>
      <c r="E113" s="114" cm="1">
        <f t="array" ref="E113">INDEX(N113:Q113,case_number)</f>
        <v>6.7808046075429031E-9</v>
      </c>
      <c r="F113" s="114" cm="1">
        <f t="array" aca="1" ref="F113" ca="1">1/(INDIRECT(sheet_name&amp;"!bolt.bending_stiffness")*1000000)</f>
        <v>6.9457327575990351E-9</v>
      </c>
      <c r="G113" s="118">
        <f ca="1">(F113-E113)/E113</f>
        <v>2.4322799372904439E-2</v>
      </c>
      <c r="H113" t="s">
        <v>271</v>
      </c>
      <c r="I113" s="105"/>
      <c r="K113" s="106"/>
      <c r="L113" s="105" t="s">
        <v>270</v>
      </c>
      <c r="M113" s="103" t="s">
        <v>269</v>
      </c>
      <c r="N113" s="114">
        <v>6.7808046075429031E-9</v>
      </c>
      <c r="O113" s="114">
        <v>6.7808046075429031E-9</v>
      </c>
      <c r="P113" s="114">
        <v>6.7808046075429031E-9</v>
      </c>
      <c r="Q113" s="114">
        <v>6.7808046075429031E-9</v>
      </c>
      <c r="R113" t="str">
        <f t="shared" si="7"/>
        <v>Bending resilience of bolt assembly</v>
      </c>
    </row>
    <row r="114" spans="2:18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268</v>
      </c>
      <c r="I114" s="105"/>
      <c r="K114" s="106">
        <f>K112+1</f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tr">
        <f t="shared" si="7"/>
        <v>Bending moment for T-Flange as a function of external force Z</v>
      </c>
    </row>
    <row r="115" spans="2:18" ht="15.6">
      <c r="B115" s="106">
        <f>B114+1</f>
        <v>51</v>
      </c>
      <c r="C115" s="105" t="s">
        <v>267</v>
      </c>
      <c r="D115" s="103" t="s">
        <v>123</v>
      </c>
      <c r="E115" s="128"/>
      <c r="F115" s="128"/>
      <c r="G115" s="128"/>
      <c r="H115" t="s">
        <v>266</v>
      </c>
      <c r="I115" s="105"/>
      <c r="K115" s="106">
        <f>K114+1</f>
        <v>51</v>
      </c>
      <c r="L115" s="105" t="s">
        <v>267</v>
      </c>
      <c r="M115" s="103" t="s">
        <v>123</v>
      </c>
      <c r="N115" s="128"/>
      <c r="O115" s="128"/>
      <c r="P115" s="128"/>
      <c r="Q115" s="128"/>
      <c r="R115" t="str">
        <f t="shared" si="7"/>
        <v>Intermediate values as function of Z</v>
      </c>
    </row>
    <row r="116" spans="2:18" ht="15.6">
      <c r="B116" s="106">
        <f>B115+1</f>
        <v>52</v>
      </c>
      <c r="C116" s="105" t="s">
        <v>265</v>
      </c>
      <c r="D116" s="103" t="s">
        <v>123</v>
      </c>
      <c r="E116" s="128"/>
      <c r="F116" s="128"/>
      <c r="G116" s="128"/>
      <c r="H116" t="s">
        <v>266</v>
      </c>
      <c r="I116" s="105"/>
      <c r="K116" s="106">
        <f>K115+1</f>
        <v>52</v>
      </c>
      <c r="L116" s="105" t="s">
        <v>265</v>
      </c>
      <c r="M116" s="103" t="s">
        <v>123</v>
      </c>
      <c r="N116" s="128"/>
      <c r="O116" s="128"/>
      <c r="P116" s="128"/>
      <c r="Q116" s="128"/>
      <c r="R116" t="str">
        <f t="shared" si="7"/>
        <v>Intermediate values as function of Z</v>
      </c>
    </row>
    <row r="117" spans="2:18" ht="15.6">
      <c r="B117" s="106">
        <f>B116+1</f>
        <v>53</v>
      </c>
      <c r="C117" s="105" t="s">
        <v>124</v>
      </c>
      <c r="D117" s="103" t="s">
        <v>123</v>
      </c>
      <c r="E117" s="113" cm="1">
        <f t="array" ref="E117">INDEX(N117:Q117,case_number)</f>
        <v>0.22881533152730013</v>
      </c>
      <c r="F117" s="113" cm="1">
        <f t="array" aca="1" ref="F117" ca="1">INDIRECT(sheet_name&amp;"!true_moment_initial_slope")</f>
        <v>0.19700614002502334</v>
      </c>
      <c r="G117" s="118">
        <f ca="1">(F117-E117)/E117</f>
        <v>-0.13901687133443508</v>
      </c>
      <c r="H117" t="s">
        <v>309</v>
      </c>
      <c r="I117" s="105"/>
      <c r="K117" s="106">
        <f>K116+1</f>
        <v>53</v>
      </c>
      <c r="L117" s="105" t="s">
        <v>124</v>
      </c>
      <c r="M117" s="103" t="s">
        <v>123</v>
      </c>
      <c r="N117" s="109">
        <v>0.22881533152730013</v>
      </c>
      <c r="O117" s="109">
        <v>0.17800162123193988</v>
      </c>
      <c r="P117" s="109">
        <v>0.16572379276896795</v>
      </c>
      <c r="Q117" s="109">
        <v>0.16063505977007558</v>
      </c>
      <c r="R117" t="str">
        <f t="shared" si="7"/>
        <v>(valid in case L-Flange is calculated)</v>
      </c>
    </row>
    <row r="118" spans="2:18" ht="15.6">
      <c r="C118" s="105" t="s">
        <v>124</v>
      </c>
      <c r="D118" s="103" t="s">
        <v>123</v>
      </c>
      <c r="E118" s="113" cm="1">
        <f t="array" ref="E118">INDEX(N118:Q118,case_number)</f>
        <v>0.15821187587621519</v>
      </c>
      <c r="F118" s="109" t="s">
        <v>86</v>
      </c>
      <c r="G118" s="109" t="s">
        <v>86</v>
      </c>
      <c r="H118" t="s">
        <v>308</v>
      </c>
      <c r="L118" s="105" t="s">
        <v>124</v>
      </c>
      <c r="M118" s="103" t="s">
        <v>123</v>
      </c>
      <c r="N118" s="114">
        <v>0.15821187587621519</v>
      </c>
      <c r="O118" s="114">
        <v>8.2396184802145889E-2</v>
      </c>
      <c r="P118" s="114">
        <v>6.1809102945987966E-2</v>
      </c>
      <c r="Q118" s="114">
        <v>5.2825300178790752E-2</v>
      </c>
      <c r="R118" t="str">
        <f t="shared" si="7"/>
        <v>(valid in case T-Flange is calculated)</v>
      </c>
    </row>
    <row r="119" spans="2:18" ht="15.6">
      <c r="B119" s="106">
        <f>B117+1</f>
        <v>54</v>
      </c>
      <c r="C119" s="105" t="s">
        <v>122</v>
      </c>
      <c r="D119" s="103" t="s">
        <v>121</v>
      </c>
      <c r="E119" s="108" cm="1">
        <f t="array" ref="E119">INDEX(N119:Q119,case_number)</f>
        <v>-45.210346008284084</v>
      </c>
      <c r="F119" s="108" cm="1">
        <f t="array" aca="1" ref="F119" ca="1">INDIRECT(sheet_name&amp;"!point4.Ms")</f>
        <v>-39.277022859045694</v>
      </c>
      <c r="G119" s="118">
        <f ca="1">(F119-E119)/E119</f>
        <v>-0.13123817163777518</v>
      </c>
      <c r="H119" t="s">
        <v>309</v>
      </c>
      <c r="I119" s="105"/>
      <c r="K119" s="106">
        <f>K117+1</f>
        <v>54</v>
      </c>
      <c r="L119" s="105" t="s">
        <v>122</v>
      </c>
      <c r="M119" s="103" t="s">
        <v>121</v>
      </c>
      <c r="N119" s="108">
        <v>-45.210346008284084</v>
      </c>
      <c r="O119" s="108">
        <v>-20.621492726278412</v>
      </c>
      <c r="P119" s="108">
        <v>-16.819796969210302</v>
      </c>
      <c r="Q119" s="108">
        <v>-15.400877276825481</v>
      </c>
      <c r="R119" t="str">
        <f t="shared" si="7"/>
        <v>(valid in case L-Flange is calculated)</v>
      </c>
    </row>
    <row r="120" spans="2:18" ht="15.6">
      <c r="C120" s="105" t="s">
        <v>122</v>
      </c>
      <c r="D120" s="103" t="s">
        <v>121</v>
      </c>
      <c r="E120" s="108" cm="1">
        <f t="array" ref="E120">INDEX(N120:Q120,case_number)</f>
        <v>-33.319505980114876</v>
      </c>
      <c r="F120" s="109" t="s">
        <v>86</v>
      </c>
      <c r="G120" s="109" t="s">
        <v>86</v>
      </c>
      <c r="H120" t="s">
        <v>308</v>
      </c>
      <c r="L120" s="105" t="s">
        <v>122</v>
      </c>
      <c r="M120" s="103" t="s">
        <v>121</v>
      </c>
      <c r="N120" s="108">
        <v>-33.319505980114876</v>
      </c>
      <c r="O120" s="108">
        <v>-10.142393084455744</v>
      </c>
      <c r="P120" s="108">
        <v>-6.7655530926182665</v>
      </c>
      <c r="Q120" s="108">
        <v>-5.5527024742467699</v>
      </c>
      <c r="R120" t="str">
        <f t="shared" si="7"/>
        <v>(valid in case T-Flange is calculated)</v>
      </c>
    </row>
    <row r="121" spans="2:18">
      <c r="N121" s="109">
        <v>-30.038888888888888</v>
      </c>
      <c r="O121" s="109">
        <v>-30.038888888888888</v>
      </c>
      <c r="P121" s="109">
        <v>-30.038888888888888</v>
      </c>
      <c r="Q121" s="109">
        <v>-30.038888888888888</v>
      </c>
    </row>
    <row r="122" spans="2:18">
      <c r="N122" s="113">
        <v>0</v>
      </c>
      <c r="O122" s="113">
        <v>0</v>
      </c>
      <c r="P122" s="113">
        <v>0</v>
      </c>
      <c r="Q122" s="113">
        <v>0</v>
      </c>
    </row>
    <row r="123" spans="2:18">
      <c r="N123" s="109">
        <v>-12.975440564878406</v>
      </c>
      <c r="O123" s="109">
        <v>-14.122778963275536</v>
      </c>
      <c r="P123" s="109">
        <v>-14.335292780869318</v>
      </c>
      <c r="Q123" s="109">
        <v>-14.420851032204688</v>
      </c>
    </row>
    <row r="124" spans="2:18">
      <c r="N124" s="113">
        <v>-4.2746352261146034</v>
      </c>
      <c r="O124" s="113">
        <v>-2.7379325128683178</v>
      </c>
      <c r="P124" s="113">
        <v>-2.3157309113001991</v>
      </c>
      <c r="Q124" s="113">
        <v>-2.1306521938137162</v>
      </c>
    </row>
    <row r="125" spans="2:18">
      <c r="N125" s="113">
        <v>4.1738389339481133E-3</v>
      </c>
      <c r="O125" s="113">
        <v>8.3564725728215014E-4</v>
      </c>
      <c r="P125" s="113">
        <v>1.19694895952429E-4</v>
      </c>
      <c r="Q125" s="113">
        <v>-1.7351101516544632E-4</v>
      </c>
    </row>
    <row r="126" spans="2:18">
      <c r="N126" s="109">
        <v>-12.932388411852086</v>
      </c>
      <c r="O126" s="109">
        <v>-14.07591997316697</v>
      </c>
      <c r="P126" s="109">
        <v>-14.287728675789939</v>
      </c>
      <c r="Q126" s="109">
        <v>-14.373003047213039</v>
      </c>
    </row>
    <row r="127" spans="2:18">
      <c r="N127" s="113">
        <v>-4.2588140385269817</v>
      </c>
      <c r="O127" s="113">
        <v>-2.7296928943881031</v>
      </c>
      <c r="P127" s="113">
        <v>-2.3095500010056003</v>
      </c>
      <c r="Q127" s="113">
        <v>-2.125369663795837</v>
      </c>
    </row>
    <row r="128" spans="2:18">
      <c r="N128" s="108">
        <v>-3.203943556271498</v>
      </c>
      <c r="O128" s="108">
        <v>-4.6255338204697996</v>
      </c>
      <c r="P128" s="108">
        <v>-4.8888454768398741</v>
      </c>
      <c r="Q128" s="108">
        <v>-4.9948549830937488</v>
      </c>
    </row>
    <row r="129" spans="14:17">
      <c r="N129" s="108">
        <v>596.72919709875691</v>
      </c>
      <c r="O129" s="108">
        <v>628.89045146175556</v>
      </c>
      <c r="P129" s="108">
        <v>635.02329608188086</v>
      </c>
      <c r="Q129" s="108">
        <v>637.49840440172159</v>
      </c>
    </row>
    <row r="130" spans="14:17">
      <c r="N130" s="108">
        <v>27.071008377471777</v>
      </c>
      <c r="O130" s="108">
        <v>14.323101342934034</v>
      </c>
      <c r="P130" s="108">
        <v>12.497102909210016</v>
      </c>
      <c r="Q130" s="108">
        <v>11.794028047617013</v>
      </c>
    </row>
    <row r="131" spans="14:17">
      <c r="N131" s="138">
        <v>1.3096071787847329E-3</v>
      </c>
      <c r="O131" s="138">
        <v>1.3090187664806957E-3</v>
      </c>
      <c r="P131" s="138">
        <v>1.3194144670629461E-3</v>
      </c>
      <c r="Q131" s="138">
        <v>1.3243524734098794E-3</v>
      </c>
    </row>
    <row r="132" spans="14:17">
      <c r="N132" s="138">
        <v>0.30762458130894782</v>
      </c>
      <c r="O132" s="138">
        <v>0.25677546166687626</v>
      </c>
      <c r="P132" s="138">
        <v>0.24512322336126074</v>
      </c>
      <c r="Q132" s="138">
        <v>0.24033164861361092</v>
      </c>
    </row>
    <row r="133" spans="14:17">
      <c r="N133" s="138">
        <v>4.8779344027428806</v>
      </c>
      <c r="O133" s="138">
        <v>1.9243426574143996</v>
      </c>
      <c r="P133" s="138">
        <v>1.3004025235480583</v>
      </c>
      <c r="Q133" s="138">
        <v>1.0454948273519165</v>
      </c>
    </row>
    <row r="134" spans="14:17">
      <c r="N134" s="112"/>
      <c r="O134" s="112"/>
      <c r="P134" s="112"/>
      <c r="Q134" s="112"/>
    </row>
    <row r="135" spans="14:17">
      <c r="N135" s="109">
        <v>1.6561002853128552</v>
      </c>
      <c r="O135" s="109">
        <v>1.0308793776934759</v>
      </c>
      <c r="P135" s="109">
        <v>0.95151330024544911</v>
      </c>
      <c r="Q135" s="109">
        <v>0.92207300837622941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2024-08-16T09:30:42Z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