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ersion_0_6\validations\flangesegments.PolynominalTFlangeSegment\"/>
    </mc:Choice>
  </mc:AlternateContent>
  <xr:revisionPtr revIDLastSave="0" documentId="13_ncr:1_{9F979FC5-4278-43CD-97E4-21D20D011A39}" xr6:coauthVersionLast="47" xr6:coauthVersionMax="47" xr10:uidLastSave="{00000000-0000-0000-0000-000000000000}"/>
  <bookViews>
    <workbookView xWindow="-108" yWindow="-108" windowWidth="23256" windowHeight="12576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ftot" localSheetId="3">Gap120deg!$J$177</definedName>
    <definedName name="ftot" localSheetId="0">Gap30deg!$J$177</definedName>
    <definedName name="ftot" localSheetId="1">Gap60deg!$J$177</definedName>
    <definedName name="ftot" localSheetId="2">Gap90deg!$J$177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" i="16" l="1"/>
  <c r="K103" i="16" s="1"/>
  <c r="K105" i="16" s="1"/>
  <c r="K106" i="16" s="1"/>
  <c r="K107" i="16" s="1"/>
  <c r="K108" i="16" s="1"/>
  <c r="K109" i="16" s="1"/>
  <c r="K110" i="16" s="1"/>
  <c r="K111" i="16" s="1"/>
  <c r="K112" i="16" s="1"/>
  <c r="K113" i="16" s="1"/>
  <c r="K115" i="16" s="1"/>
  <c r="K116" i="16" s="1"/>
  <c r="K117" i="16" s="1"/>
  <c r="K118" i="16" s="1"/>
  <c r="K120" i="16" s="1"/>
  <c r="K27" i="16"/>
  <c r="K28" i="16" s="1"/>
  <c r="K31" i="16" s="1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6" i="16" s="1"/>
  <c r="K89" i="16" s="1"/>
  <c r="K90" i="16" s="1"/>
  <c r="K91" i="16" s="1"/>
  <c r="K92" i="16" s="1"/>
  <c r="K94" i="16" s="1"/>
  <c r="K95" i="16" s="1"/>
  <c r="K96" i="16" s="1"/>
  <c r="K97" i="16" s="1"/>
  <c r="K98" i="16" s="1"/>
  <c r="K100" i="16" s="1"/>
  <c r="G23" i="16"/>
  <c r="G22" i="16"/>
  <c r="E121" i="16" s="1" a="1"/>
  <c r="E121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6" i="16" s="1"/>
  <c r="B89" i="16" s="1"/>
  <c r="B90" i="16" s="1"/>
  <c r="B91" i="16" s="1"/>
  <c r="B92" i="16" s="1"/>
  <c r="B94" i="16" s="1"/>
  <c r="B95" i="16" s="1"/>
  <c r="B96" i="16" s="1"/>
  <c r="B97" i="16" s="1"/>
  <c r="B98" i="16" s="1"/>
  <c r="B100" i="16" s="1"/>
  <c r="B102" i="16" s="1"/>
  <c r="B103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5" i="16" s="1"/>
  <c r="B116" i="16" s="1"/>
  <c r="B117" i="16" s="1"/>
  <c r="B118" i="16" s="1"/>
  <c r="B120" i="16" s="1"/>
  <c r="F30" i="16" a="1"/>
  <c r="F134" i="16" a="1"/>
  <c r="F90" i="16" a="1"/>
  <c r="F68" i="16" a="1"/>
  <c r="F85" i="16" a="1"/>
  <c r="F98" i="16" a="1"/>
  <c r="F37" i="16" a="1"/>
  <c r="F69" i="16" a="1"/>
  <c r="F133" i="16" a="1"/>
  <c r="F123" i="16" a="1"/>
  <c r="F107" i="16" a="1"/>
  <c r="F53" i="16" a="1"/>
  <c r="F50" i="16" a="1"/>
  <c r="F29" i="16" a="1"/>
  <c r="F94" i="16" a="1"/>
  <c r="F113" i="16" a="1"/>
  <c r="F92" i="16" a="1"/>
  <c r="F105" i="16" a="1"/>
  <c r="F67" i="16" a="1"/>
  <c r="F36" i="16" a="1"/>
  <c r="F128" i="16" a="1"/>
  <c r="F125" i="16" a="1"/>
  <c r="F93" i="16" a="1"/>
  <c r="F108" i="16" a="1"/>
  <c r="F122" i="16" a="1"/>
  <c r="F51" i="16" a="1"/>
  <c r="F31" i="16" a="1"/>
  <c r="F78" i="16" a="1"/>
  <c r="F131" i="16" a="1"/>
  <c r="F71" i="16" a="1"/>
  <c r="F96" i="16" a="1"/>
  <c r="F114" i="16" a="1"/>
  <c r="F126" i="16" a="1"/>
  <c r="F119" i="16" a="1"/>
  <c r="F77" i="16" a="1"/>
  <c r="F49" i="16" a="1"/>
  <c r="F52" i="16" a="1"/>
  <c r="F100" i="16" a="1"/>
  <c r="F127" i="16" a="1"/>
  <c r="F72" i="16" a="1"/>
  <c r="F87" i="16" a="1"/>
  <c r="F60" i="16" a="1"/>
  <c r="F76" i="16" a="1"/>
  <c r="F91" i="16" a="1"/>
  <c r="F88" i="16" a="1"/>
  <c r="F84" i="16" a="1"/>
  <c r="F121" i="16" a="1"/>
  <c r="F136" i="16" a="1"/>
  <c r="F82" i="16" a="1"/>
  <c r="F83" i="16" a="1"/>
  <c r="F124" i="16" a="1"/>
  <c r="F48" i="16" a="1"/>
  <c r="F89" i="16" a="1"/>
  <c r="F61" i="16" a="1"/>
  <c r="F70" i="16" a="1"/>
  <c r="F109" i="16" a="1"/>
  <c r="F79" i="16" a="1"/>
  <c r="F132" i="16" a="1"/>
  <c r="F38" i="16" a="1"/>
  <c r="F130" i="16" a="1"/>
  <c r="F81" i="16" a="1"/>
  <c r="F102" i="16" a="1"/>
  <c r="F111" i="16" a="1"/>
  <c r="F129" i="16" a="1"/>
  <c r="E84" i="16" l="1" a="1"/>
  <c r="E84" i="16" s="1"/>
  <c r="E85" i="16" a="1"/>
  <c r="E85" i="16" s="1"/>
  <c r="F85" i="16"/>
  <c r="F84" i="16"/>
  <c r="E136" i="16" a="1"/>
  <c r="E136" i="16" s="1"/>
  <c r="F136" i="16"/>
  <c r="F134" i="16"/>
  <c r="F122" i="16"/>
  <c r="F132" i="16"/>
  <c r="F133" i="16"/>
  <c r="F131" i="16"/>
  <c r="F127" i="16"/>
  <c r="F124" i="16"/>
  <c r="F128" i="16"/>
  <c r="F126" i="16"/>
  <c r="F125" i="16"/>
  <c r="F123" i="16"/>
  <c r="F121" i="16"/>
  <c r="G121" i="16" s="1"/>
  <c r="F111" i="16"/>
  <c r="F109" i="16"/>
  <c r="F91" i="16"/>
  <c r="F92" i="16"/>
  <c r="F96" i="16"/>
  <c r="F119" i="16"/>
  <c r="F130" i="16"/>
  <c r="F129" i="16"/>
  <c r="E133" i="16" a="1"/>
  <c r="E133" i="16" s="1"/>
  <c r="E132" i="16" a="1"/>
  <c r="E132" i="16" s="1"/>
  <c r="E134" i="16" a="1"/>
  <c r="E134" i="16" s="1"/>
  <c r="E131" i="16" a="1"/>
  <c r="E131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F105" i="16"/>
  <c r="F94" i="16"/>
  <c r="F79" i="16"/>
  <c r="F93" i="16"/>
  <c r="F36" i="16"/>
  <c r="F114" i="16"/>
  <c r="F38" i="16"/>
  <c r="E37" i="16" a="1"/>
  <c r="E37" i="16" s="1"/>
  <c r="E61" i="16" a="1"/>
  <c r="E61" i="16" s="1"/>
  <c r="E78" i="16" a="1"/>
  <c r="E78" i="16" s="1"/>
  <c r="E91" i="16" a="1"/>
  <c r="E91" i="16" s="1"/>
  <c r="E103" i="16" a="1"/>
  <c r="E103" i="16" s="1"/>
  <c r="E38" i="16" a="1"/>
  <c r="E38" i="16" s="1"/>
  <c r="E67" i="16" a="1"/>
  <c r="E67" i="16" s="1"/>
  <c r="E92" i="16" a="1"/>
  <c r="E92" i="16" s="1"/>
  <c r="E39" i="16" a="1"/>
  <c r="E39" i="16" s="1"/>
  <c r="E51" i="16" a="1"/>
  <c r="E51" i="16" s="1"/>
  <c r="E68" i="16" a="1"/>
  <c r="E68" i="16" s="1"/>
  <c r="E80" i="16" a="1"/>
  <c r="E80" i="16" s="1"/>
  <c r="E93" i="16" a="1"/>
  <c r="E93" i="16" s="1"/>
  <c r="H93" i="16" s="1"/>
  <c r="E105" i="16" a="1"/>
  <c r="E105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4" i="16" a="1"/>
  <c r="E94" i="16" s="1"/>
  <c r="E107" i="16" a="1"/>
  <c r="E107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5" i="16" a="1"/>
  <c r="E95" i="16" s="1"/>
  <c r="E108" i="16" a="1"/>
  <c r="E108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6" i="16" a="1"/>
  <c r="E96" i="16" s="1"/>
  <c r="E109" i="16" a="1"/>
  <c r="E109" i="16" s="1"/>
  <c r="E31" i="16" a="1"/>
  <c r="E31" i="16" s="1"/>
  <c r="E43" i="16" a="1"/>
  <c r="E43" i="16" s="1"/>
  <c r="E55" i="16" a="1"/>
  <c r="E55" i="16" s="1"/>
  <c r="E72" i="16" a="1"/>
  <c r="E72" i="16" s="1"/>
  <c r="E97" i="16" a="1"/>
  <c r="E97" i="16" s="1"/>
  <c r="E110" i="16" a="1"/>
  <c r="E110" i="16" s="1"/>
  <c r="E32" i="16" a="1"/>
  <c r="E32" i="16" s="1"/>
  <c r="E56" i="16" a="1"/>
  <c r="E56" i="16" s="1"/>
  <c r="E73" i="16" a="1"/>
  <c r="E73" i="16" s="1"/>
  <c r="E86" i="16" a="1"/>
  <c r="E86" i="16" s="1"/>
  <c r="E98" i="16" a="1"/>
  <c r="E98" i="16" s="1"/>
  <c r="E111" i="16" a="1"/>
  <c r="E111" i="16" s="1"/>
  <c r="E33" i="16" a="1"/>
  <c r="E33" i="16" s="1"/>
  <c r="E44" i="16" a="1"/>
  <c r="E44" i="16" s="1"/>
  <c r="E57" i="16" a="1"/>
  <c r="E57" i="16" s="1"/>
  <c r="E74" i="16" a="1"/>
  <c r="E74" i="16" s="1"/>
  <c r="E87" i="16" a="1"/>
  <c r="E87" i="16" s="1"/>
  <c r="E99" i="16" a="1"/>
  <c r="E99" i="16" s="1"/>
  <c r="E113" i="16" a="1"/>
  <c r="E113" i="16" s="1"/>
  <c r="E34" i="16" a="1"/>
  <c r="E34" i="16" s="1"/>
  <c r="E45" i="16" a="1"/>
  <c r="E45" i="16" s="1"/>
  <c r="E58" i="16" a="1"/>
  <c r="E58" i="16" s="1"/>
  <c r="E75" i="16" a="1"/>
  <c r="E75" i="16" s="1"/>
  <c r="E88" i="16" a="1"/>
  <c r="E88" i="16" s="1"/>
  <c r="E100" i="16" a="1"/>
  <c r="E100" i="16" s="1"/>
  <c r="E114" i="16" a="1"/>
  <c r="E114" i="16" s="1"/>
  <c r="E35" i="16" a="1"/>
  <c r="E35" i="16" s="1"/>
  <c r="E46" i="16" a="1"/>
  <c r="E46" i="16" s="1"/>
  <c r="E59" i="16" a="1"/>
  <c r="E59" i="16" s="1"/>
  <c r="E76" i="16" a="1"/>
  <c r="E76" i="16" s="1"/>
  <c r="E89" i="16" a="1"/>
  <c r="E89" i="16" s="1"/>
  <c r="E118" i="16" a="1"/>
  <c r="E118" i="16" s="1"/>
  <c r="E36" i="16" a="1"/>
  <c r="E36" i="16" s="1"/>
  <c r="E48" i="16" a="1"/>
  <c r="E48" i="16" s="1"/>
  <c r="E60" i="16" a="1"/>
  <c r="E60" i="16" s="1"/>
  <c r="E77" i="16" a="1"/>
  <c r="E77" i="16" s="1"/>
  <c r="E90" i="16" a="1"/>
  <c r="E90" i="16" s="1"/>
  <c r="E102" i="16" a="1"/>
  <c r="E102" i="16" s="1"/>
  <c r="E119" i="16" a="1"/>
  <c r="E119" i="16" s="1"/>
  <c r="E49" i="16" a="1"/>
  <c r="E49" i="16" s="1"/>
  <c r="E120" i="16" a="1"/>
  <c r="E120" i="16" s="1"/>
  <c r="E50" i="16" a="1"/>
  <c r="E50" i="16" s="1"/>
  <c r="E79" i="16" a="1"/>
  <c r="E79" i="16" s="1"/>
  <c r="E104" i="16" a="1"/>
  <c r="E104" i="16" s="1"/>
  <c r="F76" i="16"/>
  <c r="F78" i="16"/>
  <c r="F77" i="16"/>
  <c r="F72" i="16"/>
  <c r="F71" i="16"/>
  <c r="F70" i="16"/>
  <c r="F69" i="16"/>
  <c r="F68" i="16"/>
  <c r="F67" i="16"/>
  <c r="F113" i="16"/>
  <c r="F107" i="16"/>
  <c r="F108" i="16"/>
  <c r="F100" i="16"/>
  <c r="F81" i="16"/>
  <c r="F82" i="16"/>
  <c r="F88" i="16"/>
  <c r="F102" i="16"/>
  <c r="F83" i="16"/>
  <c r="F98" i="16"/>
  <c r="F90" i="16"/>
  <c r="F87" i="16"/>
  <c r="F89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85" i="16" l="1"/>
  <c r="G136" i="16"/>
  <c r="G122" i="16"/>
  <c r="G134" i="16"/>
  <c r="G111" i="16"/>
  <c r="G125" i="16"/>
  <c r="G126" i="16"/>
  <c r="G128" i="16"/>
  <c r="G124" i="16"/>
  <c r="G127" i="16"/>
  <c r="G133" i="16"/>
  <c r="G132" i="16"/>
  <c r="G129" i="16"/>
  <c r="G130" i="16"/>
  <c r="G131" i="16"/>
  <c r="G119" i="16"/>
  <c r="G92" i="16"/>
  <c r="G91" i="16"/>
  <c r="G79" i="16"/>
  <c r="G93" i="16"/>
  <c r="G76" i="16"/>
  <c r="G52" i="16"/>
  <c r="G102" i="16"/>
  <c r="G78" i="16"/>
  <c r="G30" i="16"/>
  <c r="G38" i="16"/>
  <c r="G113" i="16"/>
  <c r="G114" i="16"/>
  <c r="G105" i="16"/>
  <c r="G61" i="16"/>
  <c r="G82" i="16"/>
  <c r="G90" i="16"/>
  <c r="G71" i="16"/>
  <c r="G96" i="16"/>
  <c r="G67" i="16"/>
  <c r="G70" i="16"/>
  <c r="G89" i="16"/>
  <c r="G37" i="16"/>
  <c r="G100" i="16"/>
  <c r="G77" i="16"/>
  <c r="G48" i="16"/>
  <c r="G88" i="16"/>
  <c r="G51" i="16"/>
  <c r="G60" i="16"/>
  <c r="G87" i="16"/>
  <c r="G50" i="16"/>
  <c r="G81" i="16"/>
  <c r="G69" i="16"/>
  <c r="G83" i="16"/>
  <c r="G108" i="16"/>
  <c r="G49" i="16"/>
  <c r="G107" i="16"/>
  <c r="G109" i="16"/>
  <c r="G31" i="16"/>
  <c r="G29" i="16"/>
  <c r="G68" i="16"/>
  <c r="G98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<sst xmlns="http://schemas.openxmlformats.org/spreadsheetml/2006/main" count="1847" uniqueCount="418">
  <si>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</si>
  <si>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</si>
  <si>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</si>
  <si>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</si>
  <si>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</si>
  <si>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</si>
  <si>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</si>
  <si>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</si>
  <si>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</si>
  <si>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</si>
  <si>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</si>
  <si>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</si>
  <si>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</si>
  <si>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</si>
  <si>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</si>
  <si>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</si>
  <si>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</si>
  <si>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</si>
  <si>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</si>
  <si>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</si>
  <si>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</si>
  <si>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</si>
  <si>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</si>
  <si>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</si>
  <si>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</si>
  <si>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</si>
  <si>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</si>
  <si>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</si>
  <si>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</si>
  <si>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</si>
  <si>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</si>
  <si>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</si>
  <si>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</si>
  <si>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</si>
  <si>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</si>
  <si>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</si>
  <si>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</si>
  <si>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</si>
  <si>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</si>
  <si>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</si>
  <si>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</si>
  <si>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</si>
  <si>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</si>
  <si>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</si>
  <si>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</si>
  <si>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</si>
  <si>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</si>
  <si>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</si>
  <si>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</si>
  <si>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</si>
  <si>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</si>
  <si>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</si>
  <si>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</si>
  <si>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</si>
  <si>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</si>
  <si>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</si>
  <si>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</si>
  <si>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</si>
  <si>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</si>
  <si>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</si>
  <si>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</si>
  <si>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</si>
  <si>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</si>
  <si>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</si>
  <si>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</si>
  <si>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</si>
  <si>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</si>
  <si>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</si>
  <si>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</si>
  <si>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</si>
  <si>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</si>
  <si>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</si>
  <si>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</si>
  <si>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</si>
  <si>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</si>
  <si>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</si>
  <si>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</si>
  <si>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</si>
  <si>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</si>
  <si>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</si>
  <si>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</si>
  <si>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</si>
  <si>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</si>
  <si>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</si>
  <si>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</si>
  <si>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</si>
  <si>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</si>
  <si>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</si>
  <si>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</si>
  <si>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</si>
  <si>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</si>
  <si>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</si>
  <si>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</si>
  <si>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</si>
  <si>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</si>
  <si>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</si>
  <si>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</si>
  <si>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</si>
  <si>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</si>
  <si>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</si>
  <si>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</si>
  <si>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</si>
  <si>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</si>
  <si>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</si>
  <si>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</si>
  <si>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</si>
  <si>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</si>
  <si>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</si>
  <si>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</si>
  <si>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</si>
  <si>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</si>
  <si>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</si>
  <si>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</si>
  <si>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</si>
  <si>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</si>
  <si>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</si>
  <si>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</si>
  <si>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</si>
  <si>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</si>
  <si>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</si>
  <si>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</si>
  <si>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</si>
  <si>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</si>
  <si>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</si>
  <si>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</si>
  <si>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</si>
  <si>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</si>
  <si>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</si>
  <si>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</si>
  <si>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</si>
  <si>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</si>
  <si>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</si>
  <si>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</si>
  <si>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</si>
  <si>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</si>
  <si>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</si>
  <si>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</si>
  <si>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</si>
  <si>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</si>
  <si>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</si>
  <si>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</si>
  <si>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</si>
  <si>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</si>
  <si>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</si>
  <si>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</si>
  <si>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</si>
  <si>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</si>
  <si>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</si>
  <si>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</si>
  <si>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</si>
  <si>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</si>
  <si>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</si>
  <si>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</si>
  <si>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</si>
  <si>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</si>
  <si>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</si>
  <si>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</si>
  <si>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</si>
  <si>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</si>
  <si>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</si>
  <si>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</si>
  <si>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</si>
  <si>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</si>
  <si>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</si>
  <si>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</si>
  <si>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</si>
  <si>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</si>
  <si>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</si>
  <si>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</si>
  <si>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</si>
  <si>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</si>
  <si>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</si>
  <si>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</si>
  <si>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</si>
  <si>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</si>
  <si>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</si>
  <si>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</si>
  <si>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</si>
  <si>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</si>
  <si>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</si>
  <si>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</si>
  <si>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</si>
  <si>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</si>
  <si>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</si>
  <si>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</si>
  <si>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</si>
  <si>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</si>
  <si>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</si>
  <si>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</si>
  <si>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</si>
  <si>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</si>
  <si>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</si>
  <si>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</si>
  <si>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</si>
  <si>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</si>
  <si>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</si>
  <si>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</si>
  <si>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</si>
  <si>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</si>
  <si>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</si>
  <si>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</si>
  <si>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</si>
  <si>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</si>
  <si>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</si>
  <si>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</si>
  <si>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</si>
  <si>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</si>
  <si>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</si>
  <si>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</si>
  <si>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</si>
  <si>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</si>
  <si>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</si>
  <si>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</si>
  <si>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</si>
  <si>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</si>
  <si>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</si>
  <si>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</si>
  <si>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</si>
  <si>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</si>
  <si>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</si>
  <si>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</si>
  <si>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</si>
  <si>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</si>
  <si>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</si>
  <si>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</si>
  <si>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</si>
  <si>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</si>
  <si>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</si>
  <si>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</si>
  <si>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</si>
  <si>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</si>
  <si>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</si>
  <si>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</si>
  <si>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</si>
  <si>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</si>
  <si>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</si>
  <si>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</si>
  <si>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</si>
  <si>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</si>
  <si>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</si>
  <si>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</si>
  <si>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</si>
  <si>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</si>
  <si>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</si>
  <si>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</si>
  <si>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</si>
  <si>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</si>
  <si>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</si>
  <si>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</si>
  <si>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</si>
  <si>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</si>
  <si>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</si>
  <si>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</si>
  <si>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</si>
  <si>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</si>
  <si>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</si>
  <si>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</si>
  <si>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</si>
  <si>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</si>
  <si>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</si>
  <si>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</si>
  <si>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</si>
  <si>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</si>
  <si>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</si>
  <si>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</si>
  <si>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</si>
  <si>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</si>
  <si>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</si>
  <si>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</si>
  <si>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</si>
  <si>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</si>
  <si>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</si>
  <si>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</si>
  <si>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</si>
  <si>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</si>
  <si>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</si>
  <si>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</si>
  <si>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</si>
  <si>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</si>
  <si>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</si>
  <si>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</si>
  <si>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</si>
  <si>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</si>
  <si>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</si>
  <si>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</si>
  <si>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</si>
  <si>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</si>
  <si>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</si>
  <si>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</si>
  <si>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</si>
  <si>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</si>
  <si>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</si>
  <si>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</si>
  <si>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</si>
  <si>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</si>
  <si>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</si>
  <si>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</si>
  <si>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</si>
  <si>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</si>
  <si>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</si>
  <si>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</si>
  <si>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</si>
  <si>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</si>
  <si>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</si>
  <si>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</si>
  <si>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</si>
  <si>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</si>
  <si>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</si>
  <si>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</si>
  <si>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</si>
  <si>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</si>
  <si>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</si>
  <si>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</si>
  <si>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</si>
  <si>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</si>
  <si>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</si>
  <si>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</si>
  <si>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</si>
  <si>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</si>
  <si>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</si>
  <si>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</si>
  <si>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</si>
  <si>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</si>
  <si>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</si>
  <si>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</si>
  <si>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</si>
  <si>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</si>
  <si>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</si>
  <si>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</si>
  <si>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</si>
  <si>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</si>
  <si>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</si>
  <si>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</si>
  <si>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</si>
  <si>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</si>
  <si>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</si>
  <si>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</si>
  <si>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</si>
  <si>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</si>
  <si>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</si>
  <si>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</si>
  <si>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</si>
  <si>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</si>
  <si>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</si>
  <si>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</si>
  <si>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</si>
  <si>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</si>
  <si>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</si>
  <si>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</si>
  <si>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</si>
  <si>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</si>
  <si>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</si>
  <si>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</si>
  <si>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</si>
  <si>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</si>
  <si>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</si>
  <si>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</si>
  <si>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</si>
  <si>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</si>
  <si>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</si>
  <si>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</si>
  <si>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</si>
  <si>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</si>
  <si>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</si>
  <si>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</si>
  <si>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</si>
  <si>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</si>
  <si>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</si>
  <si>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</si>
  <si>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</si>
  <si>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</si>
  <si>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t>m1</t>
  </si>
  <si>
    <t>Length of free loaded thread</t>
  </si>
  <si>
    <t>m2</t>
  </si>
  <si>
    <t>N_d</t>
  </si>
  <si>
    <t>Shank diameter</t>
  </si>
  <si>
    <t>Delta_sigma_d</t>
  </si>
  <si>
    <t>Pitch diameter</t>
  </si>
  <si>
    <t>safety factor loads</t>
  </si>
  <si>
    <t>Minor diameter</t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</si>
  <si>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</si>
  <si>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</si>
  <si>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</si>
  <si>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</si>
  <si>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</si>
  <si>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</si>
  <si>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</si>
  <si>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</si>
  <si>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</si>
  <si>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</si>
  <si>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</si>
  <si>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</si>
  <si>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</si>
  <si>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</si>
  <si>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</si>
  <si>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</si>
  <si>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</si>
  <si>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</si>
  <si>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t>lsh</t>
  </si>
  <si>
    <t>lGew</t>
  </si>
  <si>
    <t>dsh</t>
  </si>
  <si>
    <t>d2</t>
  </si>
  <si>
    <t>d3</t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</si>
  <si>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</si>
  <si>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</si>
  <si>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</si>
  <si>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</si>
  <si>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Design value capped to 90% Fp,C*: Yes</t>
  </si>
  <si>
    <t/>
  </si>
  <si>
    <t>Including 50% reduction, when re-tightening is assumed (only for tension tightening)</t>
  </si>
  <si>
    <t>Inclination used: 0.00deg</t>
  </si>
  <si>
    <t>Note that this includes a macro-geometric SCF=1.00</t>
  </si>
  <si>
    <t>Bending resilience of bolt assembly (VDI2230)</t>
  </si>
  <si>
    <t>Value at DZdw</t>
  </si>
  <si>
    <t>Value at DZdw+DZ</t>
  </si>
  <si>
    <r>
      <t>f</t>
    </r>
    <r>
      <rPr>
        <vertAlign val="subscript"/>
        <sz val="10"/>
        <color theme="1"/>
        <rFont val="Arial"/>
        <family val="2"/>
      </rPr>
      <t>tot</t>
    </r>
  </si>
  <si>
    <t>ftot</t>
  </si>
  <si>
    <t>[mm4]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</si>
</sst>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6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7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8" fillId="0" borderId="0" xfId="4" applyFont="1" applyAlignment="1">
      <alignment horizontal="center" vertical="top" wrapText="1"/>
    </xf>
    <xf numFmtId="0" fontId="68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0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0" fontId="11" fillId="3" borderId="1" xfId="2" quotePrefix="1" applyFont="1" applyFill="1" applyBorder="1" applyAlignment="1">
      <alignment horizontal="left" vertical="center"/>
    </xf>
    <xf numFmtId="0" fontId="11" fillId="3" borderId="1" xfId="2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-914.51269462145092</c:v>
                </c:pt>
                <c:pt idx="1">
                  <c:v>-887.95062697010678</c:v>
                </c:pt>
                <c:pt idx="2">
                  <c:v>-861.38855931876253</c:v>
                </c:pt>
                <c:pt idx="3">
                  <c:v>-834.82649166741828</c:v>
                </c:pt>
                <c:pt idx="4">
                  <c:v>-808.26442401607403</c:v>
                </c:pt>
                <c:pt idx="5">
                  <c:v>-781.70235636472978</c:v>
                </c:pt>
                <c:pt idx="6">
                  <c:v>-755.14028871338553</c:v>
                </c:pt>
                <c:pt idx="7">
                  <c:v>-728.57822106204139</c:v>
                </c:pt>
                <c:pt idx="8">
                  <c:v>-702.01615341069714</c:v>
                </c:pt>
                <c:pt idx="9">
                  <c:v>-675.45408575935289</c:v>
                </c:pt>
                <c:pt idx="10">
                  <c:v>-648.89201810800864</c:v>
                </c:pt>
                <c:pt idx="11">
                  <c:v>-622.32995045666439</c:v>
                </c:pt>
                <c:pt idx="12">
                  <c:v>-595.76788280532026</c:v>
                </c:pt>
                <c:pt idx="13">
                  <c:v>-569.205815153976</c:v>
                </c:pt>
                <c:pt idx="14">
                  <c:v>-542.64374750263175</c:v>
                </c:pt>
                <c:pt idx="15">
                  <c:v>-516.08167985128762</c:v>
                </c:pt>
                <c:pt idx="16">
                  <c:v>-489.51961219994331</c:v>
                </c:pt>
                <c:pt idx="17">
                  <c:v>-462.95754454859912</c:v>
                </c:pt>
                <c:pt idx="18">
                  <c:v>-436.39547689725487</c:v>
                </c:pt>
                <c:pt idx="19">
                  <c:v>-409.83340924591067</c:v>
                </c:pt>
                <c:pt idx="20">
                  <c:v>-383.27134159456648</c:v>
                </c:pt>
                <c:pt idx="21">
                  <c:v>-356.70927394322223</c:v>
                </c:pt>
                <c:pt idx="22">
                  <c:v>-330.14720629187804</c:v>
                </c:pt>
                <c:pt idx="23">
                  <c:v>-303.58513864053378</c:v>
                </c:pt>
                <c:pt idx="24">
                  <c:v>-277.02307098918953</c:v>
                </c:pt>
                <c:pt idx="25">
                  <c:v>-250.46100333784531</c:v>
                </c:pt>
                <c:pt idx="26">
                  <c:v>-223.89893568650109</c:v>
                </c:pt>
                <c:pt idx="27">
                  <c:v>-197.33686803515687</c:v>
                </c:pt>
                <c:pt idx="28">
                  <c:v>-170.77480038381262</c:v>
                </c:pt>
                <c:pt idx="29">
                  <c:v>-144.2127327324684</c:v>
                </c:pt>
                <c:pt idx="30">
                  <c:v>-117.65066508112417</c:v>
                </c:pt>
                <c:pt idx="31">
                  <c:v>-91.088597429779938</c:v>
                </c:pt>
                <c:pt idx="32">
                  <c:v>-64.526529778435716</c:v>
                </c:pt>
                <c:pt idx="33">
                  <c:v>-37.96446212709148</c:v>
                </c:pt>
                <c:pt idx="34">
                  <c:v>-11.402394475747249</c:v>
                </c:pt>
                <c:pt idx="35">
                  <c:v>15.159673175596982</c:v>
                </c:pt>
                <c:pt idx="36">
                  <c:v>41.721740826941215</c:v>
                </c:pt>
                <c:pt idx="37">
                  <c:v>68.283808478285437</c:v>
                </c:pt>
                <c:pt idx="38">
                  <c:v>94.845876129629673</c:v>
                </c:pt>
                <c:pt idx="39">
                  <c:v>121.40794378097391</c:v>
                </c:pt>
                <c:pt idx="40">
                  <c:v>147.97001143231802</c:v>
                </c:pt>
                <c:pt idx="41">
                  <c:v>174.53207908366224</c:v>
                </c:pt>
                <c:pt idx="42">
                  <c:v>201.09414673500649</c:v>
                </c:pt>
                <c:pt idx="43">
                  <c:v>227.65621438635071</c:v>
                </c:pt>
                <c:pt idx="44">
                  <c:v>254.21828203769493</c:v>
                </c:pt>
                <c:pt idx="45">
                  <c:v>280.78034968903916</c:v>
                </c:pt>
                <c:pt idx="46">
                  <c:v>307.34241734038341</c:v>
                </c:pt>
                <c:pt idx="47">
                  <c:v>333.90448499172766</c:v>
                </c:pt>
                <c:pt idx="48">
                  <c:v>360.46655264307185</c:v>
                </c:pt>
                <c:pt idx="49">
                  <c:v>387.0286202944161</c:v>
                </c:pt>
                <c:pt idx="50">
                  <c:v>413.59068794576029</c:v>
                </c:pt>
                <c:pt idx="51">
                  <c:v>440.15275559710454</c:v>
                </c:pt>
                <c:pt idx="52">
                  <c:v>466.71482324844879</c:v>
                </c:pt>
                <c:pt idx="53">
                  <c:v>493.27689089979299</c:v>
                </c:pt>
                <c:pt idx="54">
                  <c:v>519.83895855113724</c:v>
                </c:pt>
                <c:pt idx="55">
                  <c:v>546.40102620248149</c:v>
                </c:pt>
                <c:pt idx="56">
                  <c:v>572.96309385382574</c:v>
                </c:pt>
                <c:pt idx="57">
                  <c:v>599.52516150516999</c:v>
                </c:pt>
                <c:pt idx="58">
                  <c:v>626.08722915651413</c:v>
                </c:pt>
                <c:pt idx="59">
                  <c:v>652.64929680785838</c:v>
                </c:pt>
                <c:pt idx="60">
                  <c:v>679.21136445920263</c:v>
                </c:pt>
                <c:pt idx="61">
                  <c:v>705.77343211054688</c:v>
                </c:pt>
                <c:pt idx="62">
                  <c:v>732.33549976189113</c:v>
                </c:pt>
                <c:pt idx="63">
                  <c:v>758.89756741323527</c:v>
                </c:pt>
                <c:pt idx="64">
                  <c:v>785.45963506457952</c:v>
                </c:pt>
                <c:pt idx="65">
                  <c:v>812.02170271592377</c:v>
                </c:pt>
                <c:pt idx="66">
                  <c:v>838.58377036726802</c:v>
                </c:pt>
                <c:pt idx="67">
                  <c:v>865.14583801861227</c:v>
                </c:pt>
                <c:pt idx="68">
                  <c:v>891.70790566995652</c:v>
                </c:pt>
                <c:pt idx="69">
                  <c:v>918.26997332130065</c:v>
                </c:pt>
                <c:pt idx="70">
                  <c:v>944.8320409726449</c:v>
                </c:pt>
                <c:pt idx="71">
                  <c:v>971.39410862398915</c:v>
                </c:pt>
                <c:pt idx="72">
                  <c:v>997.95617627533341</c:v>
                </c:pt>
                <c:pt idx="73">
                  <c:v>1024.5182439266775</c:v>
                </c:pt>
                <c:pt idx="74">
                  <c:v>1051.0803115780218</c:v>
                </c:pt>
                <c:pt idx="75">
                  <c:v>1077.642379229366</c:v>
                </c:pt>
                <c:pt idx="76">
                  <c:v>1104.2044468807103</c:v>
                </c:pt>
                <c:pt idx="77">
                  <c:v>1130.7665145320545</c:v>
                </c:pt>
                <c:pt idx="78">
                  <c:v>1157.3285821833988</c:v>
                </c:pt>
                <c:pt idx="79">
                  <c:v>1183.890649834743</c:v>
                </c:pt>
                <c:pt idx="80">
                  <c:v>1210.4527174860871</c:v>
                </c:pt>
                <c:pt idx="81">
                  <c:v>1237.0147851374315</c:v>
                </c:pt>
                <c:pt idx="82">
                  <c:v>1263.5768527887756</c:v>
                </c:pt>
                <c:pt idx="83">
                  <c:v>1290.1389204401198</c:v>
                </c:pt>
                <c:pt idx="84">
                  <c:v>1316.7009880914638</c:v>
                </c:pt>
                <c:pt idx="85">
                  <c:v>1343.2630557428083</c:v>
                </c:pt>
                <c:pt idx="86">
                  <c:v>1369.8251233941523</c:v>
                </c:pt>
                <c:pt idx="87">
                  <c:v>1396.3871910454968</c:v>
                </c:pt>
                <c:pt idx="88">
                  <c:v>1422.9492586968408</c:v>
                </c:pt>
                <c:pt idx="89">
                  <c:v>1449.5113263481853</c:v>
                </c:pt>
                <c:pt idx="90">
                  <c:v>1476.0733939995293</c:v>
                </c:pt>
                <c:pt idx="91">
                  <c:v>1502.6354616508738</c:v>
                </c:pt>
                <c:pt idx="92">
                  <c:v>1529.1975293022178</c:v>
                </c:pt>
                <c:pt idx="93">
                  <c:v>1555.7595969535623</c:v>
                </c:pt>
                <c:pt idx="94">
                  <c:v>1582.3216646049061</c:v>
                </c:pt>
                <c:pt idx="95">
                  <c:v>1608.8837322562506</c:v>
                </c:pt>
                <c:pt idx="96">
                  <c:v>1635.4457999075946</c:v>
                </c:pt>
                <c:pt idx="97">
                  <c:v>1662.0078675589391</c:v>
                </c:pt>
                <c:pt idx="98">
                  <c:v>1688.5699352102831</c:v>
                </c:pt>
                <c:pt idx="99">
                  <c:v>1715.1320028616276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-57.472764381928819</c:v>
                </c:pt>
                <c:pt idx="1">
                  <c:v>-57.472764381928819</c:v>
                </c:pt>
                <c:pt idx="2">
                  <c:v>-57.465478782893186</c:v>
                </c:pt>
                <c:pt idx="3">
                  <c:v>-57.369003721322457</c:v>
                </c:pt>
                <c:pt idx="4">
                  <c:v>-57.160414943432755</c:v>
                </c:pt>
                <c:pt idx="5">
                  <c:v>-56.839712449224074</c:v>
                </c:pt>
                <c:pt idx="6">
                  <c:v>-56.406896238696426</c:v>
                </c:pt>
                <c:pt idx="7">
                  <c:v>-55.861966311849784</c:v>
                </c:pt>
                <c:pt idx="8">
                  <c:v>-55.204922668684169</c:v>
                </c:pt>
                <c:pt idx="9">
                  <c:v>-54.435765309199589</c:v>
                </c:pt>
                <c:pt idx="10">
                  <c:v>-53.554494233396021</c:v>
                </c:pt>
                <c:pt idx="11">
                  <c:v>-52.561109441273487</c:v>
                </c:pt>
                <c:pt idx="12">
                  <c:v>-51.455610932831959</c:v>
                </c:pt>
                <c:pt idx="13">
                  <c:v>-50.237998708071459</c:v>
                </c:pt>
                <c:pt idx="14">
                  <c:v>-48.908272766991985</c:v>
                </c:pt>
                <c:pt idx="15">
                  <c:v>-47.466433109593538</c:v>
                </c:pt>
                <c:pt idx="16">
                  <c:v>-45.912479735876104</c:v>
                </c:pt>
                <c:pt idx="17">
                  <c:v>-44.246412645839698</c:v>
                </c:pt>
                <c:pt idx="18">
                  <c:v>-42.468231839484318</c:v>
                </c:pt>
                <c:pt idx="19">
                  <c:v>-40.577937316809951</c:v>
                </c:pt>
                <c:pt idx="20">
                  <c:v>-38.575529077816618</c:v>
                </c:pt>
                <c:pt idx="21">
                  <c:v>-36.461007122504306</c:v>
                </c:pt>
                <c:pt idx="22">
                  <c:v>-34.234371450873013</c:v>
                </c:pt>
                <c:pt idx="23">
                  <c:v>-31.89562206292274</c:v>
                </c:pt>
                <c:pt idx="24">
                  <c:v>-29.444758958653487</c:v>
                </c:pt>
                <c:pt idx="25">
                  <c:v>-26.881782138065265</c:v>
                </c:pt>
                <c:pt idx="26">
                  <c:v>-24.206691601158063</c:v>
                </c:pt>
                <c:pt idx="27">
                  <c:v>-21.419487347931884</c:v>
                </c:pt>
                <c:pt idx="28">
                  <c:v>-18.520169378386722</c:v>
                </c:pt>
                <c:pt idx="29">
                  <c:v>-15.508737692522587</c:v>
                </c:pt>
                <c:pt idx="30">
                  <c:v>-12.385192290339475</c:v>
                </c:pt>
                <c:pt idx="31">
                  <c:v>-9.1379884610413349</c:v>
                </c:pt>
                <c:pt idx="32">
                  <c:v>-5.7110498234596978</c:v>
                </c:pt>
                <c:pt idx="33">
                  <c:v>-2.0969305464653245</c:v>
                </c:pt>
                <c:pt idx="34">
                  <c:v>1.704369369941785</c:v>
                </c:pt>
                <c:pt idx="35">
                  <c:v>5.6928499257616298</c:v>
                </c:pt>
                <c:pt idx="36">
                  <c:v>9.8685111209942118</c:v>
                </c:pt>
                <c:pt idx="37">
                  <c:v>14.231352955639528</c:v>
                </c:pt>
                <c:pt idx="38">
                  <c:v>18.781375429697579</c:v>
                </c:pt>
                <c:pt idx="39">
                  <c:v>23.51857854316837</c:v>
                </c:pt>
                <c:pt idx="40">
                  <c:v>28.442962296051871</c:v>
                </c:pt>
                <c:pt idx="41">
                  <c:v>33.554526688348133</c:v>
                </c:pt>
                <c:pt idx="42">
                  <c:v>38.85327172005713</c:v>
                </c:pt>
                <c:pt idx="43">
                  <c:v>44.339197391178857</c:v>
                </c:pt>
                <c:pt idx="44">
                  <c:v>50.012303701713329</c:v>
                </c:pt>
                <c:pt idx="45">
                  <c:v>55.872590651660531</c:v>
                </c:pt>
                <c:pt idx="46">
                  <c:v>61.920058241020463</c:v>
                </c:pt>
                <c:pt idx="47">
                  <c:v>68.15470646979314</c:v>
                </c:pt>
                <c:pt idx="48">
                  <c:v>74.576535337978555</c:v>
                </c:pt>
                <c:pt idx="49">
                  <c:v>81.1855448455767</c:v>
                </c:pt>
                <c:pt idx="50">
                  <c:v>87.981734992587576</c:v>
                </c:pt>
                <c:pt idx="51">
                  <c:v>94.965105779011196</c:v>
                </c:pt>
                <c:pt idx="52">
                  <c:v>102.13565720484755</c:v>
                </c:pt>
                <c:pt idx="53">
                  <c:v>109.49338927009664</c:v>
                </c:pt>
                <c:pt idx="54">
                  <c:v>117.03830197475847</c:v>
                </c:pt>
                <c:pt idx="55">
                  <c:v>124.77039531883302</c:v>
                </c:pt>
                <c:pt idx="56">
                  <c:v>132.68966930232031</c:v>
                </c:pt>
                <c:pt idx="57">
                  <c:v>140.79612392522037</c:v>
                </c:pt>
                <c:pt idx="58">
                  <c:v>149.0897591875331</c:v>
                </c:pt>
                <c:pt idx="59">
                  <c:v>157.57057508925863</c:v>
                </c:pt>
                <c:pt idx="60">
                  <c:v>166.23857163039688</c:v>
                </c:pt>
                <c:pt idx="61">
                  <c:v>175.09374881094783</c:v>
                </c:pt>
                <c:pt idx="62">
                  <c:v>184.13610663091157</c:v>
                </c:pt>
                <c:pt idx="63">
                  <c:v>193.36564509028801</c:v>
                </c:pt>
                <c:pt idx="64">
                  <c:v>202.78236418907719</c:v>
                </c:pt>
                <c:pt idx="65">
                  <c:v>212.38626392727912</c:v>
                </c:pt>
                <c:pt idx="66">
                  <c:v>222.17734430489375</c:v>
                </c:pt>
                <c:pt idx="67">
                  <c:v>232.15560532192114</c:v>
                </c:pt>
                <c:pt idx="68">
                  <c:v>242.3210469783613</c:v>
                </c:pt>
                <c:pt idx="69">
                  <c:v>252.67366927421415</c:v>
                </c:pt>
                <c:pt idx="70">
                  <c:v>263.21347220947973</c:v>
                </c:pt>
                <c:pt idx="71">
                  <c:v>273.94045578415808</c:v>
                </c:pt>
                <c:pt idx="72">
                  <c:v>284.85461999824912</c:v>
                </c:pt>
                <c:pt idx="73">
                  <c:v>295.95596485175287</c:v>
                </c:pt>
                <c:pt idx="74">
                  <c:v>307.24449034466949</c:v>
                </c:pt>
                <c:pt idx="75">
                  <c:v>318.72019647699875</c:v>
                </c:pt>
                <c:pt idx="76">
                  <c:v>330.38308324874077</c:v>
                </c:pt>
                <c:pt idx="77">
                  <c:v>342.2331506598955</c:v>
                </c:pt>
                <c:pt idx="78">
                  <c:v>354.27039871046298</c:v>
                </c:pt>
                <c:pt idx="79">
                  <c:v>366.49482740044317</c:v>
                </c:pt>
                <c:pt idx="80">
                  <c:v>378.906436729836</c:v>
                </c:pt>
                <c:pt idx="81">
                  <c:v>391.50522669864182</c:v>
                </c:pt>
                <c:pt idx="82">
                  <c:v>404.29119730686017</c:v>
                </c:pt>
                <c:pt idx="83">
                  <c:v>417.26434855449145</c:v>
                </c:pt>
                <c:pt idx="84">
                  <c:v>430.42468044153526</c:v>
                </c:pt>
                <c:pt idx="85">
                  <c:v>443.77219296799194</c:v>
                </c:pt>
                <c:pt idx="86">
                  <c:v>457.30688613386121</c:v>
                </c:pt>
                <c:pt idx="87">
                  <c:v>471.02875993914353</c:v>
                </c:pt>
                <c:pt idx="88">
                  <c:v>484.93781438383814</c:v>
                </c:pt>
                <c:pt idx="89">
                  <c:v>499.03404946794586</c:v>
                </c:pt>
                <c:pt idx="90">
                  <c:v>513.31746519146611</c:v>
                </c:pt>
                <c:pt idx="91">
                  <c:v>527.78806155439929</c:v>
                </c:pt>
                <c:pt idx="92">
                  <c:v>542.44583855674489</c:v>
                </c:pt>
                <c:pt idx="93">
                  <c:v>557.2907961985037</c:v>
                </c:pt>
                <c:pt idx="94">
                  <c:v>572.3229344796747</c:v>
                </c:pt>
                <c:pt idx="95">
                  <c:v>587.5422534002588</c:v>
                </c:pt>
                <c:pt idx="96">
                  <c:v>602.94875296025543</c:v>
                </c:pt>
                <c:pt idx="97">
                  <c:v>618.54243315966505</c:v>
                </c:pt>
                <c:pt idx="98">
                  <c:v>634.32329399848709</c:v>
                </c:pt>
                <c:pt idx="99">
                  <c:v>650.29133547672222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-914.51269462145092</c:v>
                </c:pt>
                <c:pt idx="1">
                  <c:v>-887.95062697010678</c:v>
                </c:pt>
                <c:pt idx="2">
                  <c:v>-861.38855931876253</c:v>
                </c:pt>
                <c:pt idx="3">
                  <c:v>-834.82649166741828</c:v>
                </c:pt>
                <c:pt idx="4">
                  <c:v>-808.26442401607403</c:v>
                </c:pt>
                <c:pt idx="5">
                  <c:v>-781.70235636472978</c:v>
                </c:pt>
                <c:pt idx="6">
                  <c:v>-755.14028871338553</c:v>
                </c:pt>
                <c:pt idx="7">
                  <c:v>-728.57822106204139</c:v>
                </c:pt>
                <c:pt idx="8">
                  <c:v>-702.01615341069714</c:v>
                </c:pt>
                <c:pt idx="9">
                  <c:v>-675.45408575935289</c:v>
                </c:pt>
                <c:pt idx="10">
                  <c:v>-648.89201810800864</c:v>
                </c:pt>
                <c:pt idx="11">
                  <c:v>-622.32995045666439</c:v>
                </c:pt>
                <c:pt idx="12">
                  <c:v>-595.76788280532026</c:v>
                </c:pt>
                <c:pt idx="13">
                  <c:v>-569.205815153976</c:v>
                </c:pt>
                <c:pt idx="14">
                  <c:v>-542.64374750263175</c:v>
                </c:pt>
                <c:pt idx="15">
                  <c:v>-516.08167985128762</c:v>
                </c:pt>
                <c:pt idx="16">
                  <c:v>-489.51961219994331</c:v>
                </c:pt>
                <c:pt idx="17">
                  <c:v>-462.95754454859912</c:v>
                </c:pt>
                <c:pt idx="18">
                  <c:v>-436.39547689725487</c:v>
                </c:pt>
                <c:pt idx="19">
                  <c:v>-409.83340924591067</c:v>
                </c:pt>
                <c:pt idx="20">
                  <c:v>-383.27134159456648</c:v>
                </c:pt>
                <c:pt idx="21">
                  <c:v>-356.70927394322223</c:v>
                </c:pt>
                <c:pt idx="22">
                  <c:v>-330.14720629187804</c:v>
                </c:pt>
                <c:pt idx="23">
                  <c:v>-303.58513864053378</c:v>
                </c:pt>
                <c:pt idx="24">
                  <c:v>-277.02307098918953</c:v>
                </c:pt>
                <c:pt idx="25">
                  <c:v>-250.46100333784531</c:v>
                </c:pt>
                <c:pt idx="26">
                  <c:v>-223.89893568650109</c:v>
                </c:pt>
                <c:pt idx="27">
                  <c:v>-197.33686803515687</c:v>
                </c:pt>
                <c:pt idx="28">
                  <c:v>-170.77480038381262</c:v>
                </c:pt>
                <c:pt idx="29">
                  <c:v>-144.2127327324684</c:v>
                </c:pt>
                <c:pt idx="30">
                  <c:v>-117.65066508112417</c:v>
                </c:pt>
                <c:pt idx="31">
                  <c:v>-91.088597429779938</c:v>
                </c:pt>
                <c:pt idx="32">
                  <c:v>-64.526529778435716</c:v>
                </c:pt>
                <c:pt idx="33">
                  <c:v>-37.96446212709148</c:v>
                </c:pt>
                <c:pt idx="34">
                  <c:v>-11.402394475747249</c:v>
                </c:pt>
                <c:pt idx="35">
                  <c:v>15.159673175596982</c:v>
                </c:pt>
                <c:pt idx="36">
                  <c:v>41.721740826941215</c:v>
                </c:pt>
                <c:pt idx="37">
                  <c:v>68.283808478285437</c:v>
                </c:pt>
                <c:pt idx="38">
                  <c:v>94.845876129629673</c:v>
                </c:pt>
                <c:pt idx="39">
                  <c:v>121.40794378097391</c:v>
                </c:pt>
                <c:pt idx="40">
                  <c:v>147.97001143231802</c:v>
                </c:pt>
                <c:pt idx="41">
                  <c:v>174.53207908366224</c:v>
                </c:pt>
                <c:pt idx="42">
                  <c:v>201.09414673500649</c:v>
                </c:pt>
                <c:pt idx="43">
                  <c:v>227.65621438635071</c:v>
                </c:pt>
                <c:pt idx="44">
                  <c:v>254.21828203769493</c:v>
                </c:pt>
                <c:pt idx="45">
                  <c:v>280.78034968903916</c:v>
                </c:pt>
                <c:pt idx="46">
                  <c:v>307.34241734038341</c:v>
                </c:pt>
                <c:pt idx="47">
                  <c:v>333.90448499172766</c:v>
                </c:pt>
                <c:pt idx="48">
                  <c:v>360.46655264307185</c:v>
                </c:pt>
                <c:pt idx="49">
                  <c:v>387.0286202944161</c:v>
                </c:pt>
                <c:pt idx="50">
                  <c:v>413.59068794576029</c:v>
                </c:pt>
                <c:pt idx="51">
                  <c:v>440.15275559710454</c:v>
                </c:pt>
                <c:pt idx="52">
                  <c:v>466.71482324844879</c:v>
                </c:pt>
                <c:pt idx="53">
                  <c:v>493.27689089979299</c:v>
                </c:pt>
                <c:pt idx="54">
                  <c:v>519.83895855113724</c:v>
                </c:pt>
                <c:pt idx="55">
                  <c:v>546.40102620248149</c:v>
                </c:pt>
                <c:pt idx="56">
                  <c:v>572.96309385382574</c:v>
                </c:pt>
                <c:pt idx="57">
                  <c:v>599.52516150516999</c:v>
                </c:pt>
                <c:pt idx="58">
                  <c:v>626.08722915651413</c:v>
                </c:pt>
                <c:pt idx="59">
                  <c:v>652.64929680785838</c:v>
                </c:pt>
                <c:pt idx="60">
                  <c:v>679.21136445920263</c:v>
                </c:pt>
                <c:pt idx="61">
                  <c:v>705.77343211054688</c:v>
                </c:pt>
                <c:pt idx="62">
                  <c:v>732.33549976189113</c:v>
                </c:pt>
                <c:pt idx="63">
                  <c:v>758.89756741323527</c:v>
                </c:pt>
                <c:pt idx="64">
                  <c:v>785.45963506457952</c:v>
                </c:pt>
                <c:pt idx="65">
                  <c:v>812.02170271592377</c:v>
                </c:pt>
                <c:pt idx="66">
                  <c:v>838.58377036726802</c:v>
                </c:pt>
                <c:pt idx="67">
                  <c:v>865.14583801861227</c:v>
                </c:pt>
                <c:pt idx="68">
                  <c:v>891.70790566995652</c:v>
                </c:pt>
                <c:pt idx="69">
                  <c:v>918.26997332130065</c:v>
                </c:pt>
                <c:pt idx="70">
                  <c:v>944.8320409726449</c:v>
                </c:pt>
                <c:pt idx="71">
                  <c:v>971.39410862398915</c:v>
                </c:pt>
                <c:pt idx="72">
                  <c:v>997.95617627533341</c:v>
                </c:pt>
                <c:pt idx="73">
                  <c:v>1024.5182439266775</c:v>
                </c:pt>
                <c:pt idx="74">
                  <c:v>1051.0803115780218</c:v>
                </c:pt>
                <c:pt idx="75">
                  <c:v>1077.642379229366</c:v>
                </c:pt>
                <c:pt idx="76">
                  <c:v>1104.2044468807103</c:v>
                </c:pt>
                <c:pt idx="77">
                  <c:v>1130.7665145320545</c:v>
                </c:pt>
                <c:pt idx="78">
                  <c:v>1157.3285821833988</c:v>
                </c:pt>
                <c:pt idx="79">
                  <c:v>1183.890649834743</c:v>
                </c:pt>
                <c:pt idx="80">
                  <c:v>1210.4527174860871</c:v>
                </c:pt>
                <c:pt idx="81">
                  <c:v>1237.0147851374315</c:v>
                </c:pt>
                <c:pt idx="82">
                  <c:v>1263.5768527887756</c:v>
                </c:pt>
                <c:pt idx="83">
                  <c:v>1290.1389204401198</c:v>
                </c:pt>
                <c:pt idx="84">
                  <c:v>1316.7009880914638</c:v>
                </c:pt>
                <c:pt idx="85">
                  <c:v>1343.2630557428083</c:v>
                </c:pt>
                <c:pt idx="86">
                  <c:v>1369.8251233941523</c:v>
                </c:pt>
                <c:pt idx="87">
                  <c:v>1396.3871910454968</c:v>
                </c:pt>
                <c:pt idx="88">
                  <c:v>1422.9492586968408</c:v>
                </c:pt>
                <c:pt idx="89">
                  <c:v>1449.5113263481853</c:v>
                </c:pt>
                <c:pt idx="90">
                  <c:v>1476.0733939995293</c:v>
                </c:pt>
                <c:pt idx="91">
                  <c:v>1502.6354616508738</c:v>
                </c:pt>
                <c:pt idx="92">
                  <c:v>1529.1975293022178</c:v>
                </c:pt>
                <c:pt idx="93">
                  <c:v>1555.7595969535623</c:v>
                </c:pt>
                <c:pt idx="94">
                  <c:v>1582.3216646049061</c:v>
                </c:pt>
                <c:pt idx="95">
                  <c:v>1608.8837322562506</c:v>
                </c:pt>
                <c:pt idx="96">
                  <c:v>1635.4457999075946</c:v>
                </c:pt>
                <c:pt idx="97">
                  <c:v>1662.0078675589391</c:v>
                </c:pt>
                <c:pt idx="98">
                  <c:v>1688.5699352102831</c:v>
                </c:pt>
                <c:pt idx="99">
                  <c:v>1715.1320028616276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907.98514203480443</c:v>
                </c:pt>
                <c:pt idx="1">
                  <c:v>907.98514203480443</c:v>
                </c:pt>
                <c:pt idx="2">
                  <c:v>907.98827695069838</c:v>
                </c:pt>
                <c:pt idx="3">
                  <c:v>908.02978914515302</c:v>
                </c:pt>
                <c:pt idx="4">
                  <c:v>908.1195426811222</c:v>
                </c:pt>
                <c:pt idx="5">
                  <c:v>908.25753755860603</c:v>
                </c:pt>
                <c:pt idx="6">
                  <c:v>908.44377377760418</c:v>
                </c:pt>
                <c:pt idx="7">
                  <c:v>908.67825133811709</c:v>
                </c:pt>
                <c:pt idx="8">
                  <c:v>908.96097024014443</c:v>
                </c:pt>
                <c:pt idx="9">
                  <c:v>909.29193048368631</c:v>
                </c:pt>
                <c:pt idx="10">
                  <c:v>909.67113206874262</c:v>
                </c:pt>
                <c:pt idx="11">
                  <c:v>910.09857499531358</c:v>
                </c:pt>
                <c:pt idx="12">
                  <c:v>910.57425926339897</c:v>
                </c:pt>
                <c:pt idx="13">
                  <c:v>911.09818487299901</c:v>
                </c:pt>
                <c:pt idx="14">
                  <c:v>911.67035182411337</c:v>
                </c:pt>
                <c:pt idx="15">
                  <c:v>912.29076011674249</c:v>
                </c:pt>
                <c:pt idx="16">
                  <c:v>912.95940975088604</c:v>
                </c:pt>
                <c:pt idx="17">
                  <c:v>913.67630072654413</c:v>
                </c:pt>
                <c:pt idx="18">
                  <c:v>914.44143304371687</c:v>
                </c:pt>
                <c:pt idx="19">
                  <c:v>915.25480670240393</c:v>
                </c:pt>
                <c:pt idx="20">
                  <c:v>916.11642170260563</c:v>
                </c:pt>
                <c:pt idx="21">
                  <c:v>917.02627804432188</c:v>
                </c:pt>
                <c:pt idx="22">
                  <c:v>917.98437572755267</c:v>
                </c:pt>
                <c:pt idx="23">
                  <c:v>918.990714752298</c:v>
                </c:pt>
                <c:pt idx="24">
                  <c:v>920.04529511855776</c:v>
                </c:pt>
                <c:pt idx="25">
                  <c:v>921.14811682633206</c:v>
                </c:pt>
                <c:pt idx="26">
                  <c:v>922.29917987562101</c:v>
                </c:pt>
                <c:pt idx="27">
                  <c:v>923.49848426642438</c:v>
                </c:pt>
                <c:pt idx="28">
                  <c:v>924.74602999874242</c:v>
                </c:pt>
                <c:pt idx="29">
                  <c:v>926.04181707257487</c:v>
                </c:pt>
                <c:pt idx="30">
                  <c:v>927.38584548792187</c:v>
                </c:pt>
                <c:pt idx="31">
                  <c:v>928.78913328037049</c:v>
                </c:pt>
                <c:pt idx="32">
                  <c:v>930.30519859985316</c:v>
                </c:pt>
                <c:pt idx="33">
                  <c:v>931.94114759513434</c:v>
                </c:pt>
                <c:pt idx="34">
                  <c:v>933.69698026621393</c:v>
                </c:pt>
                <c:pt idx="35">
                  <c:v>935.57269661309169</c:v>
                </c:pt>
                <c:pt idx="36">
                  <c:v>937.56829663576798</c:v>
                </c:pt>
                <c:pt idx="37">
                  <c:v>939.68378033424278</c:v>
                </c:pt>
                <c:pt idx="38">
                  <c:v>941.91914770851588</c:v>
                </c:pt>
                <c:pt idx="39">
                  <c:v>944.27439875858727</c:v>
                </c:pt>
                <c:pt idx="40">
                  <c:v>946.74953348445717</c:v>
                </c:pt>
                <c:pt idx="41">
                  <c:v>949.34455188612549</c:v>
                </c:pt>
                <c:pt idx="42">
                  <c:v>952.0594539635922</c:v>
                </c:pt>
                <c:pt idx="43">
                  <c:v>954.89423971685721</c:v>
                </c:pt>
                <c:pt idx="44">
                  <c:v>957.84890914592063</c:v>
                </c:pt>
                <c:pt idx="45">
                  <c:v>960.92346225078256</c:v>
                </c:pt>
                <c:pt idx="46">
                  <c:v>964.11789903144268</c:v>
                </c:pt>
                <c:pt idx="47">
                  <c:v>967.43221948790131</c:v>
                </c:pt>
                <c:pt idx="48">
                  <c:v>970.86642362015834</c:v>
                </c:pt>
                <c:pt idx="49">
                  <c:v>974.42051142821379</c:v>
                </c:pt>
                <c:pt idx="50">
                  <c:v>978.09448291206752</c:v>
                </c:pt>
                <c:pt idx="51">
                  <c:v>981.88833807171977</c:v>
                </c:pt>
                <c:pt idx="52">
                  <c:v>985.80207690717032</c:v>
                </c:pt>
                <c:pt idx="53">
                  <c:v>989.83569941841927</c:v>
                </c:pt>
                <c:pt idx="54">
                  <c:v>993.98920560546674</c:v>
                </c:pt>
                <c:pt idx="55">
                  <c:v>998.2625954683125</c:v>
                </c:pt>
                <c:pt idx="56">
                  <c:v>1002.6558690069566</c:v>
                </c:pt>
                <c:pt idx="57">
                  <c:v>1007.1690262213992</c:v>
                </c:pt>
                <c:pt idx="58">
                  <c:v>1011.8020671116401</c:v>
                </c:pt>
                <c:pt idx="59">
                  <c:v>1016.5549916776794</c:v>
                </c:pt>
                <c:pt idx="60">
                  <c:v>1021.4277999195172</c:v>
                </c:pt>
                <c:pt idx="61">
                  <c:v>1026.4204918371531</c:v>
                </c:pt>
                <c:pt idx="62">
                  <c:v>1031.5330674305876</c:v>
                </c:pt>
                <c:pt idx="63">
                  <c:v>1036.7655266998206</c:v>
                </c:pt>
                <c:pt idx="64">
                  <c:v>1042.1178696448519</c:v>
                </c:pt>
                <c:pt idx="65">
                  <c:v>1047.5900962656817</c:v>
                </c:pt>
                <c:pt idx="66">
                  <c:v>1053.1822065623098</c:v>
                </c:pt>
                <c:pt idx="67">
                  <c:v>1058.8942005347362</c:v>
                </c:pt>
                <c:pt idx="68">
                  <c:v>1064.7260781829611</c:v>
                </c:pt>
                <c:pt idx="69">
                  <c:v>1070.6778395069841</c:v>
                </c:pt>
                <c:pt idx="70">
                  <c:v>1076.7494845068059</c:v>
                </c:pt>
                <c:pt idx="71">
                  <c:v>1082.9410131824259</c:v>
                </c:pt>
                <c:pt idx="72">
                  <c:v>1089.2524255338444</c:v>
                </c:pt>
                <c:pt idx="73">
                  <c:v>1095.6837215610612</c:v>
                </c:pt>
                <c:pt idx="74">
                  <c:v>1102.2349012640766</c:v>
                </c:pt>
                <c:pt idx="75">
                  <c:v>1108.90596464289</c:v>
                </c:pt>
                <c:pt idx="76">
                  <c:v>1115.6969116975019</c:v>
                </c:pt>
                <c:pt idx="77">
                  <c:v>1122.6077424279126</c:v>
                </c:pt>
                <c:pt idx="78">
                  <c:v>1129.6384568341211</c:v>
                </c:pt>
                <c:pt idx="79">
                  <c:v>1136.7890549161284</c:v>
                </c:pt>
                <c:pt idx="80">
                  <c:v>1144.059536673934</c:v>
                </c:pt>
                <c:pt idx="81">
                  <c:v>1151.449902107538</c:v>
                </c:pt>
                <c:pt idx="82">
                  <c:v>1158.9601512169402</c:v>
                </c:pt>
                <c:pt idx="83">
                  <c:v>1166.5902840021411</c:v>
                </c:pt>
                <c:pt idx="84">
                  <c:v>1174.34030046314</c:v>
                </c:pt>
                <c:pt idx="85">
                  <c:v>1182.2102005999377</c:v>
                </c:pt>
                <c:pt idx="86">
                  <c:v>1190.1999844125337</c:v>
                </c:pt>
                <c:pt idx="87">
                  <c:v>1198.309651900928</c:v>
                </c:pt>
                <c:pt idx="88">
                  <c:v>1206.5392030651205</c:v>
                </c:pt>
                <c:pt idx="89">
                  <c:v>1214.8886379051119</c:v>
                </c:pt>
                <c:pt idx="90">
                  <c:v>1223.3579564209012</c:v>
                </c:pt>
                <c:pt idx="91">
                  <c:v>1231.9471586124891</c:v>
                </c:pt>
                <c:pt idx="92">
                  <c:v>1240.6562444798753</c:v>
                </c:pt>
                <c:pt idx="93">
                  <c:v>1249.4852140230601</c:v>
                </c:pt>
                <c:pt idx="94">
                  <c:v>1258.4340672420431</c:v>
                </c:pt>
                <c:pt idx="95">
                  <c:v>1267.5028041368246</c:v>
                </c:pt>
                <c:pt idx="96">
                  <c:v>1276.6914247074044</c:v>
                </c:pt>
                <c:pt idx="97">
                  <c:v>1285.9999289537827</c:v>
                </c:pt>
                <c:pt idx="98">
                  <c:v>1295.4283168759594</c:v>
                </c:pt>
                <c:pt idx="99">
                  <c:v>1304.9765884739343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-943.72542573293333</c:v>
                </c:pt>
                <c:pt idx="1">
                  <c:v>-917.54455015299459</c:v>
                </c:pt>
                <c:pt idx="2">
                  <c:v>-891.36367457305573</c:v>
                </c:pt>
                <c:pt idx="3">
                  <c:v>-865.18279899311699</c:v>
                </c:pt>
                <c:pt idx="4">
                  <c:v>-839.00192341317813</c:v>
                </c:pt>
                <c:pt idx="5">
                  <c:v>-812.82104783323939</c:v>
                </c:pt>
                <c:pt idx="6">
                  <c:v>-786.64017225330053</c:v>
                </c:pt>
                <c:pt idx="7">
                  <c:v>-760.45929667336179</c:v>
                </c:pt>
                <c:pt idx="8">
                  <c:v>-734.27842109342305</c:v>
                </c:pt>
                <c:pt idx="9">
                  <c:v>-708.09754551348419</c:v>
                </c:pt>
                <c:pt idx="10">
                  <c:v>-681.91666993354545</c:v>
                </c:pt>
                <c:pt idx="11">
                  <c:v>-655.73579435360659</c:v>
                </c:pt>
                <c:pt idx="12">
                  <c:v>-629.55491877366785</c:v>
                </c:pt>
                <c:pt idx="13">
                  <c:v>-603.37404319372911</c:v>
                </c:pt>
                <c:pt idx="14">
                  <c:v>-577.19316761379025</c:v>
                </c:pt>
                <c:pt idx="15">
                  <c:v>-551.01229203385151</c:v>
                </c:pt>
                <c:pt idx="16">
                  <c:v>-524.83141645391265</c:v>
                </c:pt>
                <c:pt idx="17">
                  <c:v>-498.65054087397385</c:v>
                </c:pt>
                <c:pt idx="18">
                  <c:v>-472.46966529403511</c:v>
                </c:pt>
                <c:pt idx="19">
                  <c:v>-446.28878971409631</c:v>
                </c:pt>
                <c:pt idx="20">
                  <c:v>-420.10791413415751</c:v>
                </c:pt>
                <c:pt idx="21">
                  <c:v>-393.92703855421871</c:v>
                </c:pt>
                <c:pt idx="22">
                  <c:v>-367.74616297427997</c:v>
                </c:pt>
                <c:pt idx="23">
                  <c:v>-341.56528739434123</c:v>
                </c:pt>
                <c:pt idx="24">
                  <c:v>-315.38441181440231</c:v>
                </c:pt>
                <c:pt idx="25">
                  <c:v>-289.20353623446357</c:v>
                </c:pt>
                <c:pt idx="26">
                  <c:v>-263.02266065452483</c:v>
                </c:pt>
                <c:pt idx="27">
                  <c:v>-236.84178507458594</c:v>
                </c:pt>
                <c:pt idx="28">
                  <c:v>-210.66090949464717</c:v>
                </c:pt>
                <c:pt idx="29">
                  <c:v>-184.48003391470843</c:v>
                </c:pt>
                <c:pt idx="30">
                  <c:v>-158.29915833476966</c:v>
                </c:pt>
                <c:pt idx="31">
                  <c:v>-132.11828275483077</c:v>
                </c:pt>
                <c:pt idx="32">
                  <c:v>-105.93740717489203</c:v>
                </c:pt>
                <c:pt idx="33">
                  <c:v>-79.756531594953273</c:v>
                </c:pt>
                <c:pt idx="34">
                  <c:v>-53.575656015014395</c:v>
                </c:pt>
                <c:pt idx="35">
                  <c:v>-27.394780435075635</c:v>
                </c:pt>
                <c:pt idx="36">
                  <c:v>-1.2139048551368761</c:v>
                </c:pt>
                <c:pt idx="37">
                  <c:v>24.966970724801882</c:v>
                </c:pt>
                <c:pt idx="38">
                  <c:v>51.14784630474076</c:v>
                </c:pt>
                <c:pt idx="39">
                  <c:v>77.32872188467951</c:v>
                </c:pt>
                <c:pt idx="40">
                  <c:v>103.50959746461827</c:v>
                </c:pt>
                <c:pt idx="41">
                  <c:v>129.69047304455714</c:v>
                </c:pt>
                <c:pt idx="42">
                  <c:v>155.87134862449591</c:v>
                </c:pt>
                <c:pt idx="43">
                  <c:v>182.05222420443465</c:v>
                </c:pt>
                <c:pt idx="44">
                  <c:v>208.23309978437342</c:v>
                </c:pt>
                <c:pt idx="45">
                  <c:v>234.41397536431219</c:v>
                </c:pt>
                <c:pt idx="46">
                  <c:v>260.59485094425094</c:v>
                </c:pt>
                <c:pt idx="47">
                  <c:v>286.77572652418991</c:v>
                </c:pt>
                <c:pt idx="48">
                  <c:v>312.95660210412871</c:v>
                </c:pt>
                <c:pt idx="49">
                  <c:v>339.13747768406745</c:v>
                </c:pt>
                <c:pt idx="50">
                  <c:v>365.31835326400619</c:v>
                </c:pt>
                <c:pt idx="51">
                  <c:v>391.49922884394493</c:v>
                </c:pt>
                <c:pt idx="52">
                  <c:v>417.68010442388373</c:v>
                </c:pt>
                <c:pt idx="53">
                  <c:v>443.86098000382248</c:v>
                </c:pt>
                <c:pt idx="54">
                  <c:v>470.04185558376145</c:v>
                </c:pt>
                <c:pt idx="55">
                  <c:v>496.22273116370025</c:v>
                </c:pt>
                <c:pt idx="56">
                  <c:v>522.40360674363899</c:v>
                </c:pt>
                <c:pt idx="57">
                  <c:v>548.58448232357773</c:v>
                </c:pt>
                <c:pt idx="58">
                  <c:v>574.76535790351647</c:v>
                </c:pt>
                <c:pt idx="59">
                  <c:v>600.94623348345522</c:v>
                </c:pt>
                <c:pt idx="60">
                  <c:v>627.12710906339407</c:v>
                </c:pt>
                <c:pt idx="61">
                  <c:v>653.30798464333304</c:v>
                </c:pt>
                <c:pt idx="62">
                  <c:v>679.48886022327179</c:v>
                </c:pt>
                <c:pt idx="63">
                  <c:v>705.66973580321053</c:v>
                </c:pt>
                <c:pt idx="64">
                  <c:v>731.85061138314927</c:v>
                </c:pt>
                <c:pt idx="65">
                  <c:v>758.03148696308801</c:v>
                </c:pt>
                <c:pt idx="66">
                  <c:v>784.21236254302676</c:v>
                </c:pt>
                <c:pt idx="67">
                  <c:v>810.39323812296561</c:v>
                </c:pt>
                <c:pt idx="68">
                  <c:v>836.57411370290458</c:v>
                </c:pt>
                <c:pt idx="69">
                  <c:v>862.75498928284333</c:v>
                </c:pt>
                <c:pt idx="70">
                  <c:v>888.93586486278207</c:v>
                </c:pt>
                <c:pt idx="71">
                  <c:v>915.11674044272081</c:v>
                </c:pt>
                <c:pt idx="72">
                  <c:v>941.29761602265955</c:v>
                </c:pt>
                <c:pt idx="73">
                  <c:v>967.4784916025983</c:v>
                </c:pt>
                <c:pt idx="74">
                  <c:v>993.65936718253715</c:v>
                </c:pt>
                <c:pt idx="75">
                  <c:v>1019.8402427624761</c:v>
                </c:pt>
                <c:pt idx="76">
                  <c:v>1046.0211183424149</c:v>
                </c:pt>
                <c:pt idx="77">
                  <c:v>1072.2019939223537</c:v>
                </c:pt>
                <c:pt idx="78">
                  <c:v>1098.3828695022926</c:v>
                </c:pt>
                <c:pt idx="79">
                  <c:v>1124.5637450822312</c:v>
                </c:pt>
                <c:pt idx="80">
                  <c:v>1150.7446206621701</c:v>
                </c:pt>
                <c:pt idx="81">
                  <c:v>1176.9254962421087</c:v>
                </c:pt>
                <c:pt idx="82">
                  <c:v>1203.1063718220475</c:v>
                </c:pt>
                <c:pt idx="83">
                  <c:v>1229.2872474019862</c:v>
                </c:pt>
                <c:pt idx="84">
                  <c:v>1255.468122981925</c:v>
                </c:pt>
                <c:pt idx="85">
                  <c:v>1281.6489985618639</c:v>
                </c:pt>
                <c:pt idx="86">
                  <c:v>1307.8298741418025</c:v>
                </c:pt>
                <c:pt idx="87">
                  <c:v>1334.0107497217414</c:v>
                </c:pt>
                <c:pt idx="88">
                  <c:v>1360.19162530168</c:v>
                </c:pt>
                <c:pt idx="89">
                  <c:v>1386.3725008816189</c:v>
                </c:pt>
                <c:pt idx="90">
                  <c:v>1412.5533764615575</c:v>
                </c:pt>
                <c:pt idx="91">
                  <c:v>1438.7342520414963</c:v>
                </c:pt>
                <c:pt idx="92">
                  <c:v>1464.9151276214352</c:v>
                </c:pt>
                <c:pt idx="93">
                  <c:v>1491.0960032013743</c:v>
                </c:pt>
                <c:pt idx="94">
                  <c:v>1517.2768787813131</c:v>
                </c:pt>
                <c:pt idx="95">
                  <c:v>1543.4577543612518</c:v>
                </c:pt>
                <c:pt idx="96">
                  <c:v>1569.6386299411906</c:v>
                </c:pt>
                <c:pt idx="97">
                  <c:v>1595.8195055211293</c:v>
                </c:pt>
                <c:pt idx="98">
                  <c:v>1622.0003811010681</c:v>
                </c:pt>
                <c:pt idx="99">
                  <c:v>1648.1812566810072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-61.316915162514299</c:v>
                </c:pt>
                <c:pt idx="1">
                  <c:v>-61.316915162514299</c:v>
                </c:pt>
                <c:pt idx="2">
                  <c:v>-61.312538839388019</c:v>
                </c:pt>
                <c:pt idx="3">
                  <c:v>-61.227217778133529</c:v>
                </c:pt>
                <c:pt idx="4">
                  <c:v>-61.033000269064836</c:v>
                </c:pt>
                <c:pt idx="5">
                  <c:v>-60.729886312181918</c:v>
                </c:pt>
                <c:pt idx="6">
                  <c:v>-60.317875907484783</c:v>
                </c:pt>
                <c:pt idx="7">
                  <c:v>-59.796969054973445</c:v>
                </c:pt>
                <c:pt idx="8">
                  <c:v>-59.167165754647876</c:v>
                </c:pt>
                <c:pt idx="9">
                  <c:v>-58.428466006508096</c:v>
                </c:pt>
                <c:pt idx="10">
                  <c:v>-57.580869810554105</c:v>
                </c:pt>
                <c:pt idx="11">
                  <c:v>-56.624377166785905</c:v>
                </c:pt>
                <c:pt idx="12">
                  <c:v>-55.55898807520348</c:v>
                </c:pt>
                <c:pt idx="13">
                  <c:v>-54.384702535806838</c:v>
                </c:pt>
                <c:pt idx="14">
                  <c:v>-53.101520548595985</c:v>
                </c:pt>
                <c:pt idx="15">
                  <c:v>-51.709442113570915</c:v>
                </c:pt>
                <c:pt idx="16">
                  <c:v>-50.208467230731621</c:v>
                </c:pt>
                <c:pt idx="17">
                  <c:v>-48.598595900078124</c:v>
                </c:pt>
                <c:pt idx="18">
                  <c:v>-46.879828121610416</c:v>
                </c:pt>
                <c:pt idx="19">
                  <c:v>-45.052163895328484</c:v>
                </c:pt>
                <c:pt idx="20">
                  <c:v>-43.115603221232334</c:v>
                </c:pt>
                <c:pt idx="21">
                  <c:v>-41.070146099321967</c:v>
                </c:pt>
                <c:pt idx="22">
                  <c:v>-38.91579252959739</c:v>
                </c:pt>
                <c:pt idx="23">
                  <c:v>-36.652542512058602</c:v>
                </c:pt>
                <c:pt idx="24">
                  <c:v>-34.280396046705583</c:v>
                </c:pt>
                <c:pt idx="25">
                  <c:v>-31.799353133538368</c:v>
                </c:pt>
                <c:pt idx="26">
                  <c:v>-29.209413772556928</c:v>
                </c:pt>
                <c:pt idx="27">
                  <c:v>-26.510577963761268</c:v>
                </c:pt>
                <c:pt idx="28">
                  <c:v>-23.702845707151393</c:v>
                </c:pt>
                <c:pt idx="29">
                  <c:v>-20.786217002727312</c:v>
                </c:pt>
                <c:pt idx="30">
                  <c:v>-17.760691850489017</c:v>
                </c:pt>
                <c:pt idx="31">
                  <c:v>-14.626270250436487</c:v>
                </c:pt>
                <c:pt idx="32">
                  <c:v>-11.382952202569761</c:v>
                </c:pt>
                <c:pt idx="33">
                  <c:v>-7.9933796403195227</c:v>
                </c:pt>
                <c:pt idx="34">
                  <c:v>-4.4195205968557989</c:v>
                </c:pt>
                <c:pt idx="35">
                  <c:v>-0.66137431410873093</c:v>
                </c:pt>
                <c:pt idx="36">
                  <c:v>3.2810592079217007</c:v>
                </c:pt>
                <c:pt idx="37">
                  <c:v>7.4077799692354951</c:v>
                </c:pt>
                <c:pt idx="38">
                  <c:v>11.718787969832674</c:v>
                </c:pt>
                <c:pt idx="39">
                  <c:v>16.214083209713191</c:v>
                </c:pt>
                <c:pt idx="40">
                  <c:v>20.893665688877075</c:v>
                </c:pt>
                <c:pt idx="41">
                  <c:v>25.757535407324344</c:v>
                </c:pt>
                <c:pt idx="42">
                  <c:v>30.805692365054956</c:v>
                </c:pt>
                <c:pt idx="43">
                  <c:v>36.038136562068928</c:v>
                </c:pt>
                <c:pt idx="44">
                  <c:v>41.454867998366261</c:v>
                </c:pt>
                <c:pt idx="45">
                  <c:v>47.055886673946958</c:v>
                </c:pt>
                <c:pt idx="46">
                  <c:v>52.841192588811012</c:v>
                </c:pt>
                <c:pt idx="47">
                  <c:v>58.810785742958494</c:v>
                </c:pt>
                <c:pt idx="48">
                  <c:v>64.964666136389283</c:v>
                </c:pt>
                <c:pt idx="49">
                  <c:v>71.30283376910343</c:v>
                </c:pt>
                <c:pt idx="50">
                  <c:v>77.82528864110094</c:v>
                </c:pt>
                <c:pt idx="51">
                  <c:v>84.532030752381814</c:v>
                </c:pt>
                <c:pt idx="52">
                  <c:v>91.423060102946053</c:v>
                </c:pt>
                <c:pt idx="53">
                  <c:v>98.498376692793656</c:v>
                </c:pt>
                <c:pt idx="54">
                  <c:v>105.75798052192469</c:v>
                </c:pt>
                <c:pt idx="55">
                  <c:v>113.20187159033901</c:v>
                </c:pt>
                <c:pt idx="56">
                  <c:v>120.83004989803671</c:v>
                </c:pt>
                <c:pt idx="57">
                  <c:v>128.64251544501775</c:v>
                </c:pt>
                <c:pt idx="58">
                  <c:v>136.63926823128216</c:v>
                </c:pt>
                <c:pt idx="59">
                  <c:v>144.82030825682995</c:v>
                </c:pt>
                <c:pt idx="60">
                  <c:v>153.18563552166108</c:v>
                </c:pt>
                <c:pt idx="61">
                  <c:v>161.73525002577566</c:v>
                </c:pt>
                <c:pt idx="62">
                  <c:v>170.46915176917352</c:v>
                </c:pt>
                <c:pt idx="63">
                  <c:v>179.38734075185477</c:v>
                </c:pt>
                <c:pt idx="64">
                  <c:v>188.48981697381933</c:v>
                </c:pt>
                <c:pt idx="65">
                  <c:v>197.7765804350673</c:v>
                </c:pt>
                <c:pt idx="66">
                  <c:v>207.2476311355986</c:v>
                </c:pt>
                <c:pt idx="67">
                  <c:v>216.9029690754133</c:v>
                </c:pt>
                <c:pt idx="68">
                  <c:v>226.74259425451143</c:v>
                </c:pt>
                <c:pt idx="69">
                  <c:v>236.76650667289286</c:v>
                </c:pt>
                <c:pt idx="70">
                  <c:v>246.97470633055761</c:v>
                </c:pt>
                <c:pt idx="71">
                  <c:v>257.36719322750577</c:v>
                </c:pt>
                <c:pt idx="72">
                  <c:v>267.94396736373722</c:v>
                </c:pt>
                <c:pt idx="73">
                  <c:v>278.7050287392521</c:v>
                </c:pt>
                <c:pt idx="74">
                  <c:v>289.65037735405036</c:v>
                </c:pt>
                <c:pt idx="75">
                  <c:v>300.780013208132</c:v>
                </c:pt>
                <c:pt idx="76">
                  <c:v>312.09393630149697</c:v>
                </c:pt>
                <c:pt idx="77">
                  <c:v>323.59214663414531</c:v>
                </c:pt>
                <c:pt idx="78">
                  <c:v>335.27464420607703</c:v>
                </c:pt>
                <c:pt idx="79">
                  <c:v>347.14142901729207</c:v>
                </c:pt>
                <c:pt idx="80">
                  <c:v>359.19250106779043</c:v>
                </c:pt>
                <c:pt idx="81">
                  <c:v>371.42786035757217</c:v>
                </c:pt>
                <c:pt idx="82">
                  <c:v>383.84750688663729</c:v>
                </c:pt>
                <c:pt idx="83">
                  <c:v>396.45144065498584</c:v>
                </c:pt>
                <c:pt idx="84">
                  <c:v>409.23966166261766</c:v>
                </c:pt>
                <c:pt idx="85">
                  <c:v>422.21216990953286</c:v>
                </c:pt>
                <c:pt idx="86">
                  <c:v>435.36896539573149</c:v>
                </c:pt>
                <c:pt idx="87">
                  <c:v>448.71004812121339</c:v>
                </c:pt>
                <c:pt idx="88">
                  <c:v>462.23541808597867</c:v>
                </c:pt>
                <c:pt idx="89">
                  <c:v>475.94507529002732</c:v>
                </c:pt>
                <c:pt idx="90">
                  <c:v>489.83901973335941</c:v>
                </c:pt>
                <c:pt idx="91">
                  <c:v>503.91725141597476</c:v>
                </c:pt>
                <c:pt idx="92">
                  <c:v>518.17977033787349</c:v>
                </c:pt>
                <c:pt idx="93">
                  <c:v>532.62657649905589</c:v>
                </c:pt>
                <c:pt idx="94">
                  <c:v>547.25766989952137</c:v>
                </c:pt>
                <c:pt idx="95">
                  <c:v>562.07305053927018</c:v>
                </c:pt>
                <c:pt idx="96">
                  <c:v>577.07271841830243</c:v>
                </c:pt>
                <c:pt idx="97">
                  <c:v>592.256673536618</c:v>
                </c:pt>
                <c:pt idx="98">
                  <c:v>607.624915894217</c:v>
                </c:pt>
                <c:pt idx="99">
                  <c:v>623.17744549109932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-943.72542573293333</c:v>
                </c:pt>
                <c:pt idx="1">
                  <c:v>-917.54455015299459</c:v>
                </c:pt>
                <c:pt idx="2">
                  <c:v>-891.36367457305573</c:v>
                </c:pt>
                <c:pt idx="3">
                  <c:v>-865.18279899311699</c:v>
                </c:pt>
                <c:pt idx="4">
                  <c:v>-839.00192341317813</c:v>
                </c:pt>
                <c:pt idx="5">
                  <c:v>-812.82104783323939</c:v>
                </c:pt>
                <c:pt idx="6">
                  <c:v>-786.64017225330053</c:v>
                </c:pt>
                <c:pt idx="7">
                  <c:v>-760.45929667336179</c:v>
                </c:pt>
                <c:pt idx="8">
                  <c:v>-734.27842109342305</c:v>
                </c:pt>
                <c:pt idx="9">
                  <c:v>-708.09754551348419</c:v>
                </c:pt>
                <c:pt idx="10">
                  <c:v>-681.91666993354545</c:v>
                </c:pt>
                <c:pt idx="11">
                  <c:v>-655.73579435360659</c:v>
                </c:pt>
                <c:pt idx="12">
                  <c:v>-629.55491877366785</c:v>
                </c:pt>
                <c:pt idx="13">
                  <c:v>-603.37404319372911</c:v>
                </c:pt>
                <c:pt idx="14">
                  <c:v>-577.19316761379025</c:v>
                </c:pt>
                <c:pt idx="15">
                  <c:v>-551.01229203385151</c:v>
                </c:pt>
                <c:pt idx="16">
                  <c:v>-524.83141645391265</c:v>
                </c:pt>
                <c:pt idx="17">
                  <c:v>-498.65054087397385</c:v>
                </c:pt>
                <c:pt idx="18">
                  <c:v>-472.46966529403511</c:v>
                </c:pt>
                <c:pt idx="19">
                  <c:v>-446.28878971409631</c:v>
                </c:pt>
                <c:pt idx="20">
                  <c:v>-420.10791413415751</c:v>
                </c:pt>
                <c:pt idx="21">
                  <c:v>-393.92703855421871</c:v>
                </c:pt>
                <c:pt idx="22">
                  <c:v>-367.74616297427997</c:v>
                </c:pt>
                <c:pt idx="23">
                  <c:v>-341.56528739434123</c:v>
                </c:pt>
                <c:pt idx="24">
                  <c:v>-315.38441181440231</c:v>
                </c:pt>
                <c:pt idx="25">
                  <c:v>-289.20353623446357</c:v>
                </c:pt>
                <c:pt idx="26">
                  <c:v>-263.02266065452483</c:v>
                </c:pt>
                <c:pt idx="27">
                  <c:v>-236.84178507458594</c:v>
                </c:pt>
                <c:pt idx="28">
                  <c:v>-210.66090949464717</c:v>
                </c:pt>
                <c:pt idx="29">
                  <c:v>-184.48003391470843</c:v>
                </c:pt>
                <c:pt idx="30">
                  <c:v>-158.29915833476966</c:v>
                </c:pt>
                <c:pt idx="31">
                  <c:v>-132.11828275483077</c:v>
                </c:pt>
                <c:pt idx="32">
                  <c:v>-105.93740717489203</c:v>
                </c:pt>
                <c:pt idx="33">
                  <c:v>-79.756531594953273</c:v>
                </c:pt>
                <c:pt idx="34">
                  <c:v>-53.575656015014395</c:v>
                </c:pt>
                <c:pt idx="35">
                  <c:v>-27.394780435075635</c:v>
                </c:pt>
                <c:pt idx="36">
                  <c:v>-1.2139048551368761</c:v>
                </c:pt>
                <c:pt idx="37">
                  <c:v>24.966970724801882</c:v>
                </c:pt>
                <c:pt idx="38">
                  <c:v>51.14784630474076</c:v>
                </c:pt>
                <c:pt idx="39">
                  <c:v>77.32872188467951</c:v>
                </c:pt>
                <c:pt idx="40">
                  <c:v>103.50959746461827</c:v>
                </c:pt>
                <c:pt idx="41">
                  <c:v>129.69047304455714</c:v>
                </c:pt>
                <c:pt idx="42">
                  <c:v>155.87134862449591</c:v>
                </c:pt>
                <c:pt idx="43">
                  <c:v>182.05222420443465</c:v>
                </c:pt>
                <c:pt idx="44">
                  <c:v>208.23309978437342</c:v>
                </c:pt>
                <c:pt idx="45">
                  <c:v>234.41397536431219</c:v>
                </c:pt>
                <c:pt idx="46">
                  <c:v>260.59485094425094</c:v>
                </c:pt>
                <c:pt idx="47">
                  <c:v>286.77572652418991</c:v>
                </c:pt>
                <c:pt idx="48">
                  <c:v>312.95660210412871</c:v>
                </c:pt>
                <c:pt idx="49">
                  <c:v>339.13747768406745</c:v>
                </c:pt>
                <c:pt idx="50">
                  <c:v>365.31835326400619</c:v>
                </c:pt>
                <c:pt idx="51">
                  <c:v>391.49922884394493</c:v>
                </c:pt>
                <c:pt idx="52">
                  <c:v>417.68010442388373</c:v>
                </c:pt>
                <c:pt idx="53">
                  <c:v>443.86098000382248</c:v>
                </c:pt>
                <c:pt idx="54">
                  <c:v>470.04185558376145</c:v>
                </c:pt>
                <c:pt idx="55">
                  <c:v>496.22273116370025</c:v>
                </c:pt>
                <c:pt idx="56">
                  <c:v>522.40360674363899</c:v>
                </c:pt>
                <c:pt idx="57">
                  <c:v>548.58448232357773</c:v>
                </c:pt>
                <c:pt idx="58">
                  <c:v>574.76535790351647</c:v>
                </c:pt>
                <c:pt idx="59">
                  <c:v>600.94623348345522</c:v>
                </c:pt>
                <c:pt idx="60">
                  <c:v>627.12710906339407</c:v>
                </c:pt>
                <c:pt idx="61">
                  <c:v>653.30798464333304</c:v>
                </c:pt>
                <c:pt idx="62">
                  <c:v>679.48886022327179</c:v>
                </c:pt>
                <c:pt idx="63">
                  <c:v>705.66973580321053</c:v>
                </c:pt>
                <c:pt idx="64">
                  <c:v>731.85061138314927</c:v>
                </c:pt>
                <c:pt idx="65">
                  <c:v>758.03148696308801</c:v>
                </c:pt>
                <c:pt idx="66">
                  <c:v>784.21236254302676</c:v>
                </c:pt>
                <c:pt idx="67">
                  <c:v>810.39323812296561</c:v>
                </c:pt>
                <c:pt idx="68">
                  <c:v>836.57411370290458</c:v>
                </c:pt>
                <c:pt idx="69">
                  <c:v>862.75498928284333</c:v>
                </c:pt>
                <c:pt idx="70">
                  <c:v>888.93586486278207</c:v>
                </c:pt>
                <c:pt idx="71">
                  <c:v>915.11674044272081</c:v>
                </c:pt>
                <c:pt idx="72">
                  <c:v>941.29761602265955</c:v>
                </c:pt>
                <c:pt idx="73">
                  <c:v>967.4784916025983</c:v>
                </c:pt>
                <c:pt idx="74">
                  <c:v>993.65936718253715</c:v>
                </c:pt>
                <c:pt idx="75">
                  <c:v>1019.8402427624761</c:v>
                </c:pt>
                <c:pt idx="76">
                  <c:v>1046.0211183424149</c:v>
                </c:pt>
                <c:pt idx="77">
                  <c:v>1072.2019939223537</c:v>
                </c:pt>
                <c:pt idx="78">
                  <c:v>1098.3828695022926</c:v>
                </c:pt>
                <c:pt idx="79">
                  <c:v>1124.5637450822312</c:v>
                </c:pt>
                <c:pt idx="80">
                  <c:v>1150.7446206621701</c:v>
                </c:pt>
                <c:pt idx="81">
                  <c:v>1176.9254962421087</c:v>
                </c:pt>
                <c:pt idx="82">
                  <c:v>1203.1063718220475</c:v>
                </c:pt>
                <c:pt idx="83">
                  <c:v>1229.2872474019862</c:v>
                </c:pt>
                <c:pt idx="84">
                  <c:v>1255.468122981925</c:v>
                </c:pt>
                <c:pt idx="85">
                  <c:v>1281.6489985618639</c:v>
                </c:pt>
                <c:pt idx="86">
                  <c:v>1307.8298741418025</c:v>
                </c:pt>
                <c:pt idx="87">
                  <c:v>1334.0107497217414</c:v>
                </c:pt>
                <c:pt idx="88">
                  <c:v>1360.19162530168</c:v>
                </c:pt>
                <c:pt idx="89">
                  <c:v>1386.3725008816189</c:v>
                </c:pt>
                <c:pt idx="90">
                  <c:v>1412.5533764615575</c:v>
                </c:pt>
                <c:pt idx="91">
                  <c:v>1438.7342520414963</c:v>
                </c:pt>
                <c:pt idx="92">
                  <c:v>1464.9151276214352</c:v>
                </c:pt>
                <c:pt idx="93">
                  <c:v>1491.0960032013743</c:v>
                </c:pt>
                <c:pt idx="94">
                  <c:v>1517.2768787813131</c:v>
                </c:pt>
                <c:pt idx="95">
                  <c:v>1543.4577543612518</c:v>
                </c:pt>
                <c:pt idx="96">
                  <c:v>1569.6386299411906</c:v>
                </c:pt>
                <c:pt idx="97">
                  <c:v>1595.8195055211293</c:v>
                </c:pt>
                <c:pt idx="98">
                  <c:v>1622.0003811010681</c:v>
                </c:pt>
                <c:pt idx="99">
                  <c:v>1648.1812566810072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906.76359539825989</c:v>
                </c:pt>
                <c:pt idx="1">
                  <c:v>906.76359539825989</c:v>
                </c:pt>
                <c:pt idx="2">
                  <c:v>906.76545605269928</c:v>
                </c:pt>
                <c:pt idx="3">
                  <c:v>906.80173148456674</c:v>
                </c:pt>
                <c:pt idx="4">
                  <c:v>906.88430575068696</c:v>
                </c:pt>
                <c:pt idx="5">
                  <c:v>907.01317885105982</c:v>
                </c:pt>
                <c:pt idx="6">
                  <c:v>907.18835078568566</c:v>
                </c:pt>
                <c:pt idx="7">
                  <c:v>907.40982155456413</c:v>
                </c:pt>
                <c:pt idx="8">
                  <c:v>907.67759115769547</c:v>
                </c:pt>
                <c:pt idx="9">
                  <c:v>907.99165959507945</c:v>
                </c:pt>
                <c:pt idx="10">
                  <c:v>908.3520268667163</c:v>
                </c:pt>
                <c:pt idx="11">
                  <c:v>908.7586929726059</c:v>
                </c:pt>
                <c:pt idx="12">
                  <c:v>909.21165791274825</c:v>
                </c:pt>
                <c:pt idx="13">
                  <c:v>909.71092168714335</c:v>
                </c:pt>
                <c:pt idx="14">
                  <c:v>910.25648429579121</c:v>
                </c:pt>
                <c:pt idx="15">
                  <c:v>910.84834573869193</c:v>
                </c:pt>
                <c:pt idx="16">
                  <c:v>911.48650601584529</c:v>
                </c:pt>
                <c:pt idx="17">
                  <c:v>912.17096512725152</c:v>
                </c:pt>
                <c:pt idx="18">
                  <c:v>912.9017230729105</c:v>
                </c:pt>
                <c:pt idx="19">
                  <c:v>913.67877985282223</c:v>
                </c:pt>
                <c:pt idx="20">
                  <c:v>914.50213546698672</c:v>
                </c:pt>
                <c:pt idx="21">
                  <c:v>915.37178991540395</c:v>
                </c:pt>
                <c:pt idx="22">
                  <c:v>916.28774319807405</c:v>
                </c:pt>
                <c:pt idx="23">
                  <c:v>917.2499953149968</c:v>
                </c:pt>
                <c:pt idx="24">
                  <c:v>918.25854626617229</c:v>
                </c:pt>
                <c:pt idx="25">
                  <c:v>919.31339605160065</c:v>
                </c:pt>
                <c:pt idx="26">
                  <c:v>920.41454467128187</c:v>
                </c:pt>
                <c:pt idx="27">
                  <c:v>921.56199212521562</c:v>
                </c:pt>
                <c:pt idx="28">
                  <c:v>922.75573841340224</c:v>
                </c:pt>
                <c:pt idx="29">
                  <c:v>923.99578353584161</c:v>
                </c:pt>
                <c:pt idx="30">
                  <c:v>925.28212749253373</c:v>
                </c:pt>
                <c:pt idx="31">
                  <c:v>926.61477028347883</c:v>
                </c:pt>
                <c:pt idx="32">
                  <c:v>927.99371190867646</c:v>
                </c:pt>
                <c:pt idx="33">
                  <c:v>929.45850112674987</c:v>
                </c:pt>
                <c:pt idx="34">
                  <c:v>931.0494001143652</c:v>
                </c:pt>
                <c:pt idx="35">
                  <c:v>932.76640967404558</c:v>
                </c:pt>
                <c:pt idx="36">
                  <c:v>934.60952980579134</c:v>
                </c:pt>
                <c:pt idx="37">
                  <c:v>936.57876050960226</c:v>
                </c:pt>
                <c:pt idx="38">
                  <c:v>938.67410178547857</c:v>
                </c:pt>
                <c:pt idx="39">
                  <c:v>940.89555363341992</c:v>
                </c:pt>
                <c:pt idx="40">
                  <c:v>943.24311605342655</c:v>
                </c:pt>
                <c:pt idx="41">
                  <c:v>945.71678904549844</c:v>
                </c:pt>
                <c:pt idx="42">
                  <c:v>948.3165726096355</c:v>
                </c:pt>
                <c:pt idx="43">
                  <c:v>951.04246674583783</c:v>
                </c:pt>
                <c:pt idx="44">
                  <c:v>953.89447145410531</c:v>
                </c:pt>
                <c:pt idx="45">
                  <c:v>956.87258673443819</c:v>
                </c:pt>
                <c:pt idx="46">
                  <c:v>959.97681258683622</c:v>
                </c:pt>
                <c:pt idx="47">
                  <c:v>963.20714901129952</c:v>
                </c:pt>
                <c:pt idx="48">
                  <c:v>966.56359600782787</c:v>
                </c:pt>
                <c:pt idx="49">
                  <c:v>970.04615357642172</c:v>
                </c:pt>
                <c:pt idx="50">
                  <c:v>973.65482171708049</c:v>
                </c:pt>
                <c:pt idx="51">
                  <c:v>977.38960042980477</c:v>
                </c:pt>
                <c:pt idx="52">
                  <c:v>981.2504897145941</c:v>
                </c:pt>
                <c:pt idx="53">
                  <c:v>985.2374895714488</c:v>
                </c:pt>
                <c:pt idx="54">
                  <c:v>989.35060000036867</c:v>
                </c:pt>
                <c:pt idx="55">
                  <c:v>993.5898210013537</c:v>
                </c:pt>
                <c:pt idx="56">
                  <c:v>997.955152574404</c:v>
                </c:pt>
                <c:pt idx="57">
                  <c:v>1002.4465947195196</c:v>
                </c:pt>
                <c:pt idx="58">
                  <c:v>1007.0641474367003</c:v>
                </c:pt>
                <c:pt idx="59">
                  <c:v>1011.8078107259463</c:v>
                </c:pt>
                <c:pt idx="60">
                  <c:v>1016.6775845872576</c:v>
                </c:pt>
                <c:pt idx="61">
                  <c:v>1021.6734690206341</c:v>
                </c:pt>
                <c:pt idx="62">
                  <c:v>1026.7954640260757</c:v>
                </c:pt>
                <c:pt idx="63">
                  <c:v>1032.0435696035827</c:v>
                </c:pt>
                <c:pt idx="64">
                  <c:v>1037.4177857531547</c:v>
                </c:pt>
                <c:pt idx="65">
                  <c:v>1042.9181124747922</c:v>
                </c:pt>
                <c:pt idx="66">
                  <c:v>1048.5445497684948</c:v>
                </c:pt>
                <c:pt idx="67">
                  <c:v>1054.2970976342626</c:v>
                </c:pt>
                <c:pt idx="68">
                  <c:v>1060.1757560720957</c:v>
                </c:pt>
                <c:pt idx="69">
                  <c:v>1066.1805250819941</c:v>
                </c:pt>
                <c:pt idx="70">
                  <c:v>1072.3114046639575</c:v>
                </c:pt>
                <c:pt idx="71">
                  <c:v>1078.5683948179862</c:v>
                </c:pt>
                <c:pt idx="72">
                  <c:v>1084.9514955440804</c:v>
                </c:pt>
                <c:pt idx="73">
                  <c:v>1091.4607068422395</c:v>
                </c:pt>
                <c:pt idx="74">
                  <c:v>1098.096028712464</c:v>
                </c:pt>
                <c:pt idx="75">
                  <c:v>1104.8574611547538</c:v>
                </c:pt>
                <c:pt idx="76">
                  <c:v>1111.7450041691086</c:v>
                </c:pt>
                <c:pt idx="77">
                  <c:v>1118.7586577555287</c:v>
                </c:pt>
                <c:pt idx="78">
                  <c:v>1125.8984219140141</c:v>
                </c:pt>
                <c:pt idx="79">
                  <c:v>1133.1642966445647</c:v>
                </c:pt>
                <c:pt idx="80">
                  <c:v>1140.5562819471807</c:v>
                </c:pt>
                <c:pt idx="81">
                  <c:v>1148.0743778218616</c:v>
                </c:pt>
                <c:pt idx="82">
                  <c:v>1155.7185842686079</c:v>
                </c:pt>
                <c:pt idx="83">
                  <c:v>1163.4889012874194</c:v>
                </c:pt>
                <c:pt idx="84">
                  <c:v>1171.3853288782961</c:v>
                </c:pt>
                <c:pt idx="85">
                  <c:v>1179.4078670412382</c:v>
                </c:pt>
                <c:pt idx="86">
                  <c:v>1187.5565157762453</c:v>
                </c:pt>
                <c:pt idx="87">
                  <c:v>1195.8312750833177</c:v>
                </c:pt>
                <c:pt idx="88">
                  <c:v>1204.2321449624553</c:v>
                </c:pt>
                <c:pt idx="89">
                  <c:v>1212.7591254136582</c:v>
                </c:pt>
                <c:pt idx="90">
                  <c:v>1221.4122164369264</c:v>
                </c:pt>
                <c:pt idx="91">
                  <c:v>1230.1914180322597</c:v>
                </c:pt>
                <c:pt idx="92">
                  <c:v>1239.0967301996584</c:v>
                </c:pt>
                <c:pt idx="93">
                  <c:v>1248.1281529391222</c:v>
                </c:pt>
                <c:pt idx="94">
                  <c:v>1257.2856862506512</c:v>
                </c:pt>
                <c:pt idx="95">
                  <c:v>1266.5693301342455</c:v>
                </c:pt>
                <c:pt idx="96">
                  <c:v>1275.9790845899051</c:v>
                </c:pt>
                <c:pt idx="97">
                  <c:v>1285.5149496176298</c:v>
                </c:pt>
                <c:pt idx="98">
                  <c:v>1295.1769252174199</c:v>
                </c:pt>
                <c:pt idx="99">
                  <c:v>1304.9650113892751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-1011.3611434154867</c:v>
                </c:pt>
                <c:pt idx="1">
                  <c:v>-985.33023727144496</c:v>
                </c:pt>
                <c:pt idx="2">
                  <c:v>-959.29933112740332</c:v>
                </c:pt>
                <c:pt idx="3">
                  <c:v>-933.26842498336157</c:v>
                </c:pt>
                <c:pt idx="4">
                  <c:v>-907.23751883931993</c:v>
                </c:pt>
                <c:pt idx="5">
                  <c:v>-881.2066126952783</c:v>
                </c:pt>
                <c:pt idx="6">
                  <c:v>-855.17570655123654</c:v>
                </c:pt>
                <c:pt idx="7">
                  <c:v>-829.14480040719479</c:v>
                </c:pt>
                <c:pt idx="8">
                  <c:v>-803.11389426315316</c:v>
                </c:pt>
                <c:pt idx="9">
                  <c:v>-777.08298811911141</c:v>
                </c:pt>
                <c:pt idx="10">
                  <c:v>-751.05208197506988</c:v>
                </c:pt>
                <c:pt idx="11">
                  <c:v>-725.02117583102802</c:v>
                </c:pt>
                <c:pt idx="12">
                  <c:v>-698.99026968698638</c:v>
                </c:pt>
                <c:pt idx="13">
                  <c:v>-672.95936354294463</c:v>
                </c:pt>
                <c:pt idx="14">
                  <c:v>-646.92845739890299</c:v>
                </c:pt>
                <c:pt idx="15">
                  <c:v>-620.89755125486124</c:v>
                </c:pt>
                <c:pt idx="16">
                  <c:v>-594.8666451108196</c:v>
                </c:pt>
                <c:pt idx="17">
                  <c:v>-568.83573896677797</c:v>
                </c:pt>
                <c:pt idx="18">
                  <c:v>-542.80483282273622</c:v>
                </c:pt>
                <c:pt idx="19">
                  <c:v>-516.77392667869458</c:v>
                </c:pt>
                <c:pt idx="20">
                  <c:v>-490.74302053465289</c:v>
                </c:pt>
                <c:pt idx="21">
                  <c:v>-464.71211439061119</c:v>
                </c:pt>
                <c:pt idx="22">
                  <c:v>-438.6812082465695</c:v>
                </c:pt>
                <c:pt idx="23">
                  <c:v>-412.6503021025278</c:v>
                </c:pt>
                <c:pt idx="24">
                  <c:v>-386.619395958486</c:v>
                </c:pt>
                <c:pt idx="25">
                  <c:v>-360.5884898144443</c:v>
                </c:pt>
                <c:pt idx="26">
                  <c:v>-334.55758367040266</c:v>
                </c:pt>
                <c:pt idx="27">
                  <c:v>-308.52667752636097</c:v>
                </c:pt>
                <c:pt idx="28">
                  <c:v>-282.49577138231928</c:v>
                </c:pt>
                <c:pt idx="29">
                  <c:v>-256.46486523827758</c:v>
                </c:pt>
                <c:pt idx="30">
                  <c:v>-230.43395909423592</c:v>
                </c:pt>
                <c:pt idx="31">
                  <c:v>-204.40305295019422</c:v>
                </c:pt>
                <c:pt idx="32">
                  <c:v>-178.37214680615253</c:v>
                </c:pt>
                <c:pt idx="33">
                  <c:v>-152.34124066211086</c:v>
                </c:pt>
                <c:pt idx="34">
                  <c:v>-126.31033451806917</c:v>
                </c:pt>
                <c:pt idx="35">
                  <c:v>-100.27942837402749</c:v>
                </c:pt>
                <c:pt idx="36">
                  <c:v>-74.248522229985795</c:v>
                </c:pt>
                <c:pt idx="37">
                  <c:v>-48.217616085944115</c:v>
                </c:pt>
                <c:pt idx="38">
                  <c:v>-22.186709941902432</c:v>
                </c:pt>
                <c:pt idx="39">
                  <c:v>3.8441962021392539</c:v>
                </c:pt>
                <c:pt idx="40">
                  <c:v>29.875102346180938</c:v>
                </c:pt>
                <c:pt idx="41">
                  <c:v>55.906008490222739</c:v>
                </c:pt>
                <c:pt idx="42">
                  <c:v>81.936914634264312</c:v>
                </c:pt>
                <c:pt idx="43">
                  <c:v>107.96782077830611</c:v>
                </c:pt>
                <c:pt idx="44">
                  <c:v>133.99872692234769</c:v>
                </c:pt>
                <c:pt idx="45">
                  <c:v>160.02963306638947</c:v>
                </c:pt>
                <c:pt idx="46">
                  <c:v>186.06053921043105</c:v>
                </c:pt>
                <c:pt idx="47">
                  <c:v>212.09144535447285</c:v>
                </c:pt>
                <c:pt idx="48">
                  <c:v>238.12235149851466</c:v>
                </c:pt>
                <c:pt idx="49">
                  <c:v>264.15325764255624</c:v>
                </c:pt>
                <c:pt idx="50">
                  <c:v>290.18416378659799</c:v>
                </c:pt>
                <c:pt idx="51">
                  <c:v>316.21506993063957</c:v>
                </c:pt>
                <c:pt idx="52">
                  <c:v>342.24597607468138</c:v>
                </c:pt>
                <c:pt idx="53">
                  <c:v>368.27688221872296</c:v>
                </c:pt>
                <c:pt idx="54">
                  <c:v>394.30778836276477</c:v>
                </c:pt>
                <c:pt idx="55">
                  <c:v>420.33869450680635</c:v>
                </c:pt>
                <c:pt idx="56">
                  <c:v>446.3696006508481</c:v>
                </c:pt>
                <c:pt idx="57">
                  <c:v>472.40050679488968</c:v>
                </c:pt>
                <c:pt idx="58">
                  <c:v>498.43141293893149</c:v>
                </c:pt>
                <c:pt idx="59">
                  <c:v>524.46231908297307</c:v>
                </c:pt>
                <c:pt idx="60">
                  <c:v>550.49322522701482</c:v>
                </c:pt>
                <c:pt idx="61">
                  <c:v>576.52413137105646</c:v>
                </c:pt>
                <c:pt idx="62">
                  <c:v>602.55503751509821</c:v>
                </c:pt>
                <c:pt idx="63">
                  <c:v>628.58594365913984</c:v>
                </c:pt>
                <c:pt idx="64">
                  <c:v>654.61684980318159</c:v>
                </c:pt>
                <c:pt idx="65">
                  <c:v>680.64775594722335</c:v>
                </c:pt>
                <c:pt idx="66">
                  <c:v>706.67866209126498</c:v>
                </c:pt>
                <c:pt idx="67">
                  <c:v>732.70956823530673</c:v>
                </c:pt>
                <c:pt idx="68">
                  <c:v>758.74047437934837</c:v>
                </c:pt>
                <c:pt idx="69">
                  <c:v>784.77138052339012</c:v>
                </c:pt>
                <c:pt idx="70">
                  <c:v>810.80228666743176</c:v>
                </c:pt>
                <c:pt idx="71">
                  <c:v>836.83319281147351</c:v>
                </c:pt>
                <c:pt idx="72">
                  <c:v>862.86409895551503</c:v>
                </c:pt>
                <c:pt idx="73">
                  <c:v>888.8950050995569</c:v>
                </c:pt>
                <c:pt idx="74">
                  <c:v>914.92591124359842</c:v>
                </c:pt>
                <c:pt idx="75">
                  <c:v>940.95681738764029</c:v>
                </c:pt>
                <c:pt idx="76">
                  <c:v>966.98772353168181</c:v>
                </c:pt>
                <c:pt idx="77">
                  <c:v>993.01862967572356</c:v>
                </c:pt>
                <c:pt idx="78">
                  <c:v>1019.0495358197652</c:v>
                </c:pt>
                <c:pt idx="79">
                  <c:v>1045.0804419638071</c:v>
                </c:pt>
                <c:pt idx="80">
                  <c:v>1071.1113481078485</c:v>
                </c:pt>
                <c:pt idx="81">
                  <c:v>1097.1422542518906</c:v>
                </c:pt>
                <c:pt idx="82">
                  <c:v>1123.1731603959322</c:v>
                </c:pt>
                <c:pt idx="83">
                  <c:v>1149.2040665399736</c:v>
                </c:pt>
                <c:pt idx="84">
                  <c:v>1175.2349726840152</c:v>
                </c:pt>
                <c:pt idx="85">
                  <c:v>1201.2658788280573</c:v>
                </c:pt>
                <c:pt idx="86">
                  <c:v>1227.296784972099</c:v>
                </c:pt>
                <c:pt idx="87">
                  <c:v>1253.3276911161404</c:v>
                </c:pt>
                <c:pt idx="88">
                  <c:v>1279.358597260182</c:v>
                </c:pt>
                <c:pt idx="89">
                  <c:v>1305.3895034042241</c:v>
                </c:pt>
                <c:pt idx="90">
                  <c:v>1331.4204095482655</c:v>
                </c:pt>
                <c:pt idx="91">
                  <c:v>1357.4513156923072</c:v>
                </c:pt>
                <c:pt idx="92">
                  <c:v>1383.4822218363488</c:v>
                </c:pt>
                <c:pt idx="93">
                  <c:v>1409.5131279803909</c:v>
                </c:pt>
                <c:pt idx="94">
                  <c:v>1435.5440341244323</c:v>
                </c:pt>
                <c:pt idx="95">
                  <c:v>1461.5749402684739</c:v>
                </c:pt>
                <c:pt idx="96">
                  <c:v>1487.605846412516</c:v>
                </c:pt>
                <c:pt idx="97">
                  <c:v>1513.6367525565574</c:v>
                </c:pt>
                <c:pt idx="98">
                  <c:v>1539.6676587005991</c:v>
                </c:pt>
                <c:pt idx="99">
                  <c:v>1565.6985648446409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-69.838665394974498</c:v>
                </c:pt>
                <c:pt idx="1">
                  <c:v>-69.838665394974498</c:v>
                </c:pt>
                <c:pt idx="2">
                  <c:v>-69.837469549862732</c:v>
                </c:pt>
                <c:pt idx="3">
                  <c:v>-69.768286077609247</c:v>
                </c:pt>
                <c:pt idx="4">
                  <c:v>-69.59264838649284</c:v>
                </c:pt>
                <c:pt idx="5">
                  <c:v>-69.310556476513526</c:v>
                </c:pt>
                <c:pt idx="6">
                  <c:v>-68.922010347671289</c:v>
                </c:pt>
                <c:pt idx="7">
                  <c:v>-68.427009999966145</c:v>
                </c:pt>
                <c:pt idx="8">
                  <c:v>-67.82555543339808</c:v>
                </c:pt>
                <c:pt idx="9">
                  <c:v>-67.117646647967078</c:v>
                </c:pt>
                <c:pt idx="10">
                  <c:v>-66.303283643673183</c:v>
                </c:pt>
                <c:pt idx="11">
                  <c:v>-65.382466420516351</c:v>
                </c:pt>
                <c:pt idx="12">
                  <c:v>-64.355194978496627</c:v>
                </c:pt>
                <c:pt idx="13">
                  <c:v>-63.221469317613966</c:v>
                </c:pt>
                <c:pt idx="14">
                  <c:v>-61.981289437868398</c:v>
                </c:pt>
                <c:pt idx="15">
                  <c:v>-60.634655339259915</c:v>
                </c:pt>
                <c:pt idx="16">
                  <c:v>-59.18156702178851</c:v>
                </c:pt>
                <c:pt idx="17">
                  <c:v>-57.62202448545419</c:v>
                </c:pt>
                <c:pt idx="18">
                  <c:v>-55.956027730256949</c:v>
                </c:pt>
                <c:pt idx="19">
                  <c:v>-54.183576756196793</c:v>
                </c:pt>
                <c:pt idx="20">
                  <c:v>-52.304671563273722</c:v>
                </c:pt>
                <c:pt idx="21">
                  <c:v>-50.319312151487736</c:v>
                </c:pt>
                <c:pt idx="22">
                  <c:v>-48.227498520838829</c:v>
                </c:pt>
                <c:pt idx="23">
                  <c:v>-46.029230671327007</c:v>
                </c:pt>
                <c:pt idx="24">
                  <c:v>-43.724508602952262</c:v>
                </c:pt>
                <c:pt idx="25">
                  <c:v>-41.313332315714611</c:v>
                </c:pt>
                <c:pt idx="26">
                  <c:v>-38.795701809614023</c:v>
                </c:pt>
                <c:pt idx="27">
                  <c:v>-36.171617084650542</c:v>
                </c:pt>
                <c:pt idx="28">
                  <c:v>-33.441078140824132</c:v>
                </c:pt>
                <c:pt idx="29">
                  <c:v>-30.604084978134818</c:v>
                </c:pt>
                <c:pt idx="30">
                  <c:v>-27.660637596582568</c:v>
                </c:pt>
                <c:pt idx="31">
                  <c:v>-24.610735996167413</c:v>
                </c:pt>
                <c:pt idx="32">
                  <c:v>-21.454380176889334</c:v>
                </c:pt>
                <c:pt idx="33">
                  <c:v>-18.191570138748347</c:v>
                </c:pt>
                <c:pt idx="34">
                  <c:v>-14.822305881744434</c:v>
                </c:pt>
                <c:pt idx="35">
                  <c:v>-11.34488957543774</c:v>
                </c:pt>
                <c:pt idx="36">
                  <c:v>-7.7092863617649146</c:v>
                </c:pt>
                <c:pt idx="37">
                  <c:v>-3.8922751152268997</c:v>
                </c:pt>
                <c:pt idx="38">
                  <c:v>0.10614416417630101</c:v>
                </c:pt>
                <c:pt idx="39">
                  <c:v>4.2859714764446881</c:v>
                </c:pt>
                <c:pt idx="40">
                  <c:v>8.6472068215782603</c:v>
                </c:pt>
                <c:pt idx="41">
                  <c:v>13.189850199577041</c:v>
                </c:pt>
                <c:pt idx="42">
                  <c:v>17.913901610440966</c:v>
                </c:pt>
                <c:pt idx="43">
                  <c:v>22.819361054170116</c:v>
                </c:pt>
                <c:pt idx="44">
                  <c:v>27.906228530764412</c:v>
                </c:pt>
                <c:pt idx="45">
                  <c:v>33.174504040223937</c:v>
                </c:pt>
                <c:pt idx="46">
                  <c:v>38.624187582548601</c:v>
                </c:pt>
                <c:pt idx="47">
                  <c:v>44.255279157738499</c:v>
                </c:pt>
                <c:pt idx="48">
                  <c:v>50.067778765793591</c:v>
                </c:pt>
                <c:pt idx="49">
                  <c:v>56.061686406713818</c:v>
                </c:pt>
                <c:pt idx="50">
                  <c:v>62.237002080499273</c:v>
                </c:pt>
                <c:pt idx="51">
                  <c:v>68.593725787149864</c:v>
                </c:pt>
                <c:pt idx="52">
                  <c:v>75.131857526665712</c:v>
                </c:pt>
                <c:pt idx="53">
                  <c:v>81.851397299046667</c:v>
                </c:pt>
                <c:pt idx="54">
                  <c:v>88.752345104292871</c:v>
                </c:pt>
                <c:pt idx="55">
                  <c:v>95.834700942404197</c:v>
                </c:pt>
                <c:pt idx="56">
                  <c:v>103.09846481338079</c:v>
                </c:pt>
                <c:pt idx="57">
                  <c:v>110.5436367172225</c:v>
                </c:pt>
                <c:pt idx="58">
                  <c:v>118.17021665392946</c:v>
                </c:pt>
                <c:pt idx="59">
                  <c:v>125.97820462350154</c:v>
                </c:pt>
                <c:pt idx="60">
                  <c:v>133.96760062593884</c:v>
                </c:pt>
                <c:pt idx="61">
                  <c:v>142.13840466124131</c:v>
                </c:pt>
                <c:pt idx="62">
                  <c:v>150.490616729409</c:v>
                </c:pt>
                <c:pt idx="63">
                  <c:v>159.02423683044182</c:v>
                </c:pt>
                <c:pt idx="64">
                  <c:v>167.7392649643399</c:v>
                </c:pt>
                <c:pt idx="65">
                  <c:v>176.63570113110316</c:v>
                </c:pt>
                <c:pt idx="66">
                  <c:v>185.71354533073151</c:v>
                </c:pt>
                <c:pt idx="67">
                  <c:v>194.97279756322519</c:v>
                </c:pt>
                <c:pt idx="68">
                  <c:v>204.41345782858394</c:v>
                </c:pt>
                <c:pt idx="69">
                  <c:v>214.03552612680792</c:v>
                </c:pt>
                <c:pt idx="70">
                  <c:v>223.83900245789704</c:v>
                </c:pt>
                <c:pt idx="71">
                  <c:v>233.82388682185143</c:v>
                </c:pt>
                <c:pt idx="72">
                  <c:v>243.9901792186709</c:v>
                </c:pt>
                <c:pt idx="73">
                  <c:v>254.33787964835571</c:v>
                </c:pt>
                <c:pt idx="74">
                  <c:v>264.8669881109056</c:v>
                </c:pt>
                <c:pt idx="75">
                  <c:v>275.5775046063207</c:v>
                </c:pt>
                <c:pt idx="76">
                  <c:v>286.46942913460094</c:v>
                </c:pt>
                <c:pt idx="77">
                  <c:v>297.54276169574644</c:v>
                </c:pt>
                <c:pt idx="78">
                  <c:v>308.79750228975706</c:v>
                </c:pt>
                <c:pt idx="79">
                  <c:v>320.23365091663288</c:v>
                </c:pt>
                <c:pt idx="80">
                  <c:v>331.85120757637389</c:v>
                </c:pt>
                <c:pt idx="81">
                  <c:v>343.65017226898027</c:v>
                </c:pt>
                <c:pt idx="82">
                  <c:v>355.63054499445155</c:v>
                </c:pt>
                <c:pt idx="83">
                  <c:v>367.79232575278809</c:v>
                </c:pt>
                <c:pt idx="84">
                  <c:v>380.13551454398981</c:v>
                </c:pt>
                <c:pt idx="85">
                  <c:v>392.6601113680569</c:v>
                </c:pt>
                <c:pt idx="86">
                  <c:v>405.36611622498901</c:v>
                </c:pt>
                <c:pt idx="87">
                  <c:v>418.2535291147862</c:v>
                </c:pt>
                <c:pt idx="88">
                  <c:v>431.32235003744864</c:v>
                </c:pt>
                <c:pt idx="89">
                  <c:v>444.57257899297662</c:v>
                </c:pt>
                <c:pt idx="90">
                  <c:v>458.00421598136944</c:v>
                </c:pt>
                <c:pt idx="91">
                  <c:v>471.6172610026274</c:v>
                </c:pt>
                <c:pt idx="92">
                  <c:v>485.41171405675061</c:v>
                </c:pt>
                <c:pt idx="93">
                  <c:v>499.38757514373924</c:v>
                </c:pt>
                <c:pt idx="94">
                  <c:v>513.54484426359272</c:v>
                </c:pt>
                <c:pt idx="95">
                  <c:v>527.88352141631151</c:v>
                </c:pt>
                <c:pt idx="96">
                  <c:v>542.40360660189572</c:v>
                </c:pt>
                <c:pt idx="97">
                  <c:v>557.10509982034478</c:v>
                </c:pt>
                <c:pt idx="98">
                  <c:v>571.98800107165914</c:v>
                </c:pt>
                <c:pt idx="99">
                  <c:v>587.0523103558387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-1011.3611434154867</c:v>
                </c:pt>
                <c:pt idx="1">
                  <c:v>-985.33023727144496</c:v>
                </c:pt>
                <c:pt idx="2">
                  <c:v>-959.29933112740332</c:v>
                </c:pt>
                <c:pt idx="3">
                  <c:v>-933.26842498336157</c:v>
                </c:pt>
                <c:pt idx="4">
                  <c:v>-907.23751883931993</c:v>
                </c:pt>
                <c:pt idx="5">
                  <c:v>-881.2066126952783</c:v>
                </c:pt>
                <c:pt idx="6">
                  <c:v>-855.17570655123654</c:v>
                </c:pt>
                <c:pt idx="7">
                  <c:v>-829.14480040719479</c:v>
                </c:pt>
                <c:pt idx="8">
                  <c:v>-803.11389426315316</c:v>
                </c:pt>
                <c:pt idx="9">
                  <c:v>-777.08298811911141</c:v>
                </c:pt>
                <c:pt idx="10">
                  <c:v>-751.05208197506988</c:v>
                </c:pt>
                <c:pt idx="11">
                  <c:v>-725.02117583102802</c:v>
                </c:pt>
                <c:pt idx="12">
                  <c:v>-698.99026968698638</c:v>
                </c:pt>
                <c:pt idx="13">
                  <c:v>-672.95936354294463</c:v>
                </c:pt>
                <c:pt idx="14">
                  <c:v>-646.92845739890299</c:v>
                </c:pt>
                <c:pt idx="15">
                  <c:v>-620.89755125486124</c:v>
                </c:pt>
                <c:pt idx="16">
                  <c:v>-594.8666451108196</c:v>
                </c:pt>
                <c:pt idx="17">
                  <c:v>-568.83573896677797</c:v>
                </c:pt>
                <c:pt idx="18">
                  <c:v>-542.80483282273622</c:v>
                </c:pt>
                <c:pt idx="19">
                  <c:v>-516.77392667869458</c:v>
                </c:pt>
                <c:pt idx="20">
                  <c:v>-490.74302053465289</c:v>
                </c:pt>
                <c:pt idx="21">
                  <c:v>-464.71211439061119</c:v>
                </c:pt>
                <c:pt idx="22">
                  <c:v>-438.6812082465695</c:v>
                </c:pt>
                <c:pt idx="23">
                  <c:v>-412.6503021025278</c:v>
                </c:pt>
                <c:pt idx="24">
                  <c:v>-386.619395958486</c:v>
                </c:pt>
                <c:pt idx="25">
                  <c:v>-360.5884898144443</c:v>
                </c:pt>
                <c:pt idx="26">
                  <c:v>-334.55758367040266</c:v>
                </c:pt>
                <c:pt idx="27">
                  <c:v>-308.52667752636097</c:v>
                </c:pt>
                <c:pt idx="28">
                  <c:v>-282.49577138231928</c:v>
                </c:pt>
                <c:pt idx="29">
                  <c:v>-256.46486523827758</c:v>
                </c:pt>
                <c:pt idx="30">
                  <c:v>-230.43395909423592</c:v>
                </c:pt>
                <c:pt idx="31">
                  <c:v>-204.40305295019422</c:v>
                </c:pt>
                <c:pt idx="32">
                  <c:v>-178.37214680615253</c:v>
                </c:pt>
                <c:pt idx="33">
                  <c:v>-152.34124066211086</c:v>
                </c:pt>
                <c:pt idx="34">
                  <c:v>-126.31033451806917</c:v>
                </c:pt>
                <c:pt idx="35">
                  <c:v>-100.27942837402749</c:v>
                </c:pt>
                <c:pt idx="36">
                  <c:v>-74.248522229985795</c:v>
                </c:pt>
                <c:pt idx="37">
                  <c:v>-48.217616085944115</c:v>
                </c:pt>
                <c:pt idx="38">
                  <c:v>-22.186709941902432</c:v>
                </c:pt>
                <c:pt idx="39">
                  <c:v>3.8441962021392539</c:v>
                </c:pt>
                <c:pt idx="40">
                  <c:v>29.875102346180938</c:v>
                </c:pt>
                <c:pt idx="41">
                  <c:v>55.906008490222739</c:v>
                </c:pt>
                <c:pt idx="42">
                  <c:v>81.936914634264312</c:v>
                </c:pt>
                <c:pt idx="43">
                  <c:v>107.96782077830611</c:v>
                </c:pt>
                <c:pt idx="44">
                  <c:v>133.99872692234769</c:v>
                </c:pt>
                <c:pt idx="45">
                  <c:v>160.02963306638947</c:v>
                </c:pt>
                <c:pt idx="46">
                  <c:v>186.06053921043105</c:v>
                </c:pt>
                <c:pt idx="47">
                  <c:v>212.09144535447285</c:v>
                </c:pt>
                <c:pt idx="48">
                  <c:v>238.12235149851466</c:v>
                </c:pt>
                <c:pt idx="49">
                  <c:v>264.15325764255624</c:v>
                </c:pt>
                <c:pt idx="50">
                  <c:v>290.18416378659799</c:v>
                </c:pt>
                <c:pt idx="51">
                  <c:v>316.21506993063957</c:v>
                </c:pt>
                <c:pt idx="52">
                  <c:v>342.24597607468138</c:v>
                </c:pt>
                <c:pt idx="53">
                  <c:v>368.27688221872296</c:v>
                </c:pt>
                <c:pt idx="54">
                  <c:v>394.30778836276477</c:v>
                </c:pt>
                <c:pt idx="55">
                  <c:v>420.33869450680635</c:v>
                </c:pt>
                <c:pt idx="56">
                  <c:v>446.3696006508481</c:v>
                </c:pt>
                <c:pt idx="57">
                  <c:v>472.40050679488968</c:v>
                </c:pt>
                <c:pt idx="58">
                  <c:v>498.43141293893149</c:v>
                </c:pt>
                <c:pt idx="59">
                  <c:v>524.46231908297307</c:v>
                </c:pt>
                <c:pt idx="60">
                  <c:v>550.49322522701482</c:v>
                </c:pt>
                <c:pt idx="61">
                  <c:v>576.52413137105646</c:v>
                </c:pt>
                <c:pt idx="62">
                  <c:v>602.55503751509821</c:v>
                </c:pt>
                <c:pt idx="63">
                  <c:v>628.58594365913984</c:v>
                </c:pt>
                <c:pt idx="64">
                  <c:v>654.61684980318159</c:v>
                </c:pt>
                <c:pt idx="65">
                  <c:v>680.64775594722335</c:v>
                </c:pt>
                <c:pt idx="66">
                  <c:v>706.67866209126498</c:v>
                </c:pt>
                <c:pt idx="67">
                  <c:v>732.70956823530673</c:v>
                </c:pt>
                <c:pt idx="68">
                  <c:v>758.74047437934837</c:v>
                </c:pt>
                <c:pt idx="69">
                  <c:v>784.77138052339012</c:v>
                </c:pt>
                <c:pt idx="70">
                  <c:v>810.80228666743176</c:v>
                </c:pt>
                <c:pt idx="71">
                  <c:v>836.83319281147351</c:v>
                </c:pt>
                <c:pt idx="72">
                  <c:v>862.86409895551503</c:v>
                </c:pt>
                <c:pt idx="73">
                  <c:v>888.8950050995569</c:v>
                </c:pt>
                <c:pt idx="74">
                  <c:v>914.92591124359842</c:v>
                </c:pt>
                <c:pt idx="75">
                  <c:v>940.95681738764029</c:v>
                </c:pt>
                <c:pt idx="76">
                  <c:v>966.98772353168181</c:v>
                </c:pt>
                <c:pt idx="77">
                  <c:v>993.01862967572356</c:v>
                </c:pt>
                <c:pt idx="78">
                  <c:v>1019.0495358197652</c:v>
                </c:pt>
                <c:pt idx="79">
                  <c:v>1045.0804419638071</c:v>
                </c:pt>
                <c:pt idx="80">
                  <c:v>1071.1113481078485</c:v>
                </c:pt>
                <c:pt idx="81">
                  <c:v>1097.1422542518906</c:v>
                </c:pt>
                <c:pt idx="82">
                  <c:v>1123.1731603959322</c:v>
                </c:pt>
                <c:pt idx="83">
                  <c:v>1149.2040665399736</c:v>
                </c:pt>
                <c:pt idx="84">
                  <c:v>1175.2349726840152</c:v>
                </c:pt>
                <c:pt idx="85">
                  <c:v>1201.2658788280573</c:v>
                </c:pt>
                <c:pt idx="86">
                  <c:v>1227.296784972099</c:v>
                </c:pt>
                <c:pt idx="87">
                  <c:v>1253.3276911161404</c:v>
                </c:pt>
                <c:pt idx="88">
                  <c:v>1279.358597260182</c:v>
                </c:pt>
                <c:pt idx="89">
                  <c:v>1305.3895034042241</c:v>
                </c:pt>
                <c:pt idx="90">
                  <c:v>1331.4204095482655</c:v>
                </c:pt>
                <c:pt idx="91">
                  <c:v>1357.4513156923072</c:v>
                </c:pt>
                <c:pt idx="92">
                  <c:v>1383.4822218363488</c:v>
                </c:pt>
                <c:pt idx="93">
                  <c:v>1409.5131279803909</c:v>
                </c:pt>
                <c:pt idx="94">
                  <c:v>1435.5440341244323</c:v>
                </c:pt>
                <c:pt idx="95">
                  <c:v>1461.5749402684739</c:v>
                </c:pt>
                <c:pt idx="96">
                  <c:v>1487.605846412516</c:v>
                </c:pt>
                <c:pt idx="97">
                  <c:v>1513.6367525565574</c:v>
                </c:pt>
                <c:pt idx="98">
                  <c:v>1539.6676587005991</c:v>
                </c:pt>
                <c:pt idx="99">
                  <c:v>1565.6985648446409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903.2057757779512</c:v>
                </c:pt>
                <c:pt idx="1">
                  <c:v>903.2057757779512</c:v>
                </c:pt>
                <c:pt idx="2">
                  <c:v>903.20628925773235</c:v>
                </c:pt>
                <c:pt idx="3">
                  <c:v>903.23599570870738</c:v>
                </c:pt>
                <c:pt idx="4">
                  <c:v>903.31141216715594</c:v>
                </c:pt>
                <c:pt idx="5">
                  <c:v>903.4325386330778</c:v>
                </c:pt>
                <c:pt idx="6">
                  <c:v>903.59937510647308</c:v>
                </c:pt>
                <c:pt idx="7">
                  <c:v>903.81192158734177</c:v>
                </c:pt>
                <c:pt idx="8">
                  <c:v>904.07017807568388</c:v>
                </c:pt>
                <c:pt idx="9">
                  <c:v>904.37414457149941</c:v>
                </c:pt>
                <c:pt idx="10">
                  <c:v>904.72382107478836</c:v>
                </c:pt>
                <c:pt idx="11">
                  <c:v>905.11920758555073</c:v>
                </c:pt>
                <c:pt idx="12">
                  <c:v>905.56030410378651</c:v>
                </c:pt>
                <c:pt idx="13">
                  <c:v>906.04711062949559</c:v>
                </c:pt>
                <c:pt idx="14">
                  <c:v>906.57962716267821</c:v>
                </c:pt>
                <c:pt idx="15">
                  <c:v>907.15785370333413</c:v>
                </c:pt>
                <c:pt idx="16">
                  <c:v>907.78179025146358</c:v>
                </c:pt>
                <c:pt idx="17">
                  <c:v>908.45143680706622</c:v>
                </c:pt>
                <c:pt idx="18">
                  <c:v>909.1667933701425</c:v>
                </c:pt>
                <c:pt idx="19">
                  <c:v>909.92785994069197</c:v>
                </c:pt>
                <c:pt idx="20">
                  <c:v>910.73463651871498</c:v>
                </c:pt>
                <c:pt idx="21">
                  <c:v>911.5871231042114</c:v>
                </c:pt>
                <c:pt idx="22">
                  <c:v>912.48531969718124</c:v>
                </c:pt>
                <c:pt idx="23">
                  <c:v>913.42922629762438</c:v>
                </c:pt>
                <c:pt idx="24">
                  <c:v>914.41884290554094</c:v>
                </c:pt>
                <c:pt idx="25">
                  <c:v>915.45416952093092</c:v>
                </c:pt>
                <c:pt idx="26">
                  <c:v>916.53520614379443</c:v>
                </c:pt>
                <c:pt idx="27">
                  <c:v>917.66195277413124</c:v>
                </c:pt>
                <c:pt idx="28">
                  <c:v>918.83440941194146</c:v>
                </c:pt>
                <c:pt idx="29">
                  <c:v>920.05257605722511</c:v>
                </c:pt>
                <c:pt idx="30">
                  <c:v>921.31645270998217</c:v>
                </c:pt>
                <c:pt idx="31">
                  <c:v>922.62603937021254</c:v>
                </c:pt>
                <c:pt idx="32">
                  <c:v>923.98133603791644</c:v>
                </c:pt>
                <c:pt idx="33">
                  <c:v>925.38234271309375</c:v>
                </c:pt>
                <c:pt idx="34">
                  <c:v>926.82905939574437</c:v>
                </c:pt>
                <c:pt idx="35">
                  <c:v>928.32352778599488</c:v>
                </c:pt>
                <c:pt idx="36">
                  <c:v>929.925916540054</c:v>
                </c:pt>
                <c:pt idx="37">
                  <c:v>931.66414986858229</c:v>
                </c:pt>
                <c:pt idx="38">
                  <c:v>933.5382277715795</c:v>
                </c:pt>
                <c:pt idx="39">
                  <c:v>935.54815024904576</c:v>
                </c:pt>
                <c:pt idx="40">
                  <c:v>937.69391730098118</c:v>
                </c:pt>
                <c:pt idx="41">
                  <c:v>939.97552892738577</c:v>
                </c:pt>
                <c:pt idx="42">
                  <c:v>942.3929851282594</c:v>
                </c:pt>
                <c:pt idx="43">
                  <c:v>944.94628590360207</c:v>
                </c:pt>
                <c:pt idx="44">
                  <c:v>947.6354312534138</c:v>
                </c:pt>
                <c:pt idx="45">
                  <c:v>950.46042117769457</c:v>
                </c:pt>
                <c:pt idx="46">
                  <c:v>953.4212556764445</c:v>
                </c:pt>
                <c:pt idx="47">
                  <c:v>956.51793474966348</c:v>
                </c:pt>
                <c:pt idx="48">
                  <c:v>959.75045839735151</c:v>
                </c:pt>
                <c:pt idx="49">
                  <c:v>963.11882661950858</c:v>
                </c:pt>
                <c:pt idx="50">
                  <c:v>966.62303941613482</c:v>
                </c:pt>
                <c:pt idx="51">
                  <c:v>970.2630967872301</c:v>
                </c:pt>
                <c:pt idx="52">
                  <c:v>974.03899873279443</c:v>
                </c:pt>
                <c:pt idx="53">
                  <c:v>977.95074525282791</c:v>
                </c:pt>
                <c:pt idx="54">
                  <c:v>981.99833634733034</c:v>
                </c:pt>
                <c:pt idx="55">
                  <c:v>986.18177201630203</c:v>
                </c:pt>
                <c:pt idx="56">
                  <c:v>990.50105225974266</c:v>
                </c:pt>
                <c:pt idx="57">
                  <c:v>994.95617707765246</c:v>
                </c:pt>
                <c:pt idx="58">
                  <c:v>999.54714647003118</c:v>
                </c:pt>
                <c:pt idx="59">
                  <c:v>1004.2739604368791</c:v>
                </c:pt>
                <c:pt idx="60">
                  <c:v>1009.1366189781962</c:v>
                </c:pt>
                <c:pt idx="61">
                  <c:v>1014.1351220939822</c:v>
                </c:pt>
                <c:pt idx="62">
                  <c:v>1019.2694697842373</c:v>
                </c:pt>
                <c:pt idx="63">
                  <c:v>1024.5396620489614</c:v>
                </c:pt>
                <c:pt idx="64">
                  <c:v>1029.9456988881548</c:v>
                </c:pt>
                <c:pt idx="65">
                  <c:v>1035.4875803018172</c:v>
                </c:pt>
                <c:pt idx="66">
                  <c:v>1041.1653062899486</c:v>
                </c:pt>
                <c:pt idx="67">
                  <c:v>1046.9788768525491</c:v>
                </c:pt>
                <c:pt idx="68">
                  <c:v>1052.9282919896186</c:v>
                </c:pt>
                <c:pt idx="69">
                  <c:v>1059.0135517011574</c:v>
                </c:pt>
                <c:pt idx="70">
                  <c:v>1065.2346559871651</c:v>
                </c:pt>
                <c:pt idx="71">
                  <c:v>1071.5916048476422</c:v>
                </c:pt>
                <c:pt idx="72">
                  <c:v>1078.0843982825879</c:v>
                </c:pt>
                <c:pt idx="73">
                  <c:v>1084.7130362920029</c:v>
                </c:pt>
                <c:pt idx="74">
                  <c:v>1091.477518875887</c:v>
                </c:pt>
                <c:pt idx="75">
                  <c:v>1098.3778460342403</c:v>
                </c:pt>
                <c:pt idx="76">
                  <c:v>1105.4140177670624</c:v>
                </c:pt>
                <c:pt idx="77">
                  <c:v>1112.5860340743538</c:v>
                </c:pt>
                <c:pt idx="78">
                  <c:v>1119.8938949561141</c:v>
                </c:pt>
                <c:pt idx="79">
                  <c:v>1127.3376004123436</c:v>
                </c:pt>
                <c:pt idx="80">
                  <c:v>1134.9171504430419</c:v>
                </c:pt>
                <c:pt idx="81">
                  <c:v>1142.6325450482097</c:v>
                </c:pt>
                <c:pt idx="82">
                  <c:v>1150.4837842278464</c:v>
                </c:pt>
                <c:pt idx="83">
                  <c:v>1158.4708679819521</c:v>
                </c:pt>
                <c:pt idx="84">
                  <c:v>1166.5937963105271</c:v>
                </c:pt>
                <c:pt idx="85">
                  <c:v>1174.8525692135711</c:v>
                </c:pt>
                <c:pt idx="86">
                  <c:v>1183.2471866910839</c:v>
                </c:pt>
                <c:pt idx="87">
                  <c:v>1191.777648743066</c:v>
                </c:pt>
                <c:pt idx="88">
                  <c:v>1200.443955369517</c:v>
                </c:pt>
                <c:pt idx="89">
                  <c:v>1209.2461065704376</c:v>
                </c:pt>
                <c:pt idx="90">
                  <c:v>1218.1841023458267</c:v>
                </c:pt>
                <c:pt idx="91">
                  <c:v>1227.257942695685</c:v>
                </c:pt>
                <c:pt idx="92">
                  <c:v>1236.4676276200125</c:v>
                </c:pt>
                <c:pt idx="93">
                  <c:v>1245.8131571188092</c:v>
                </c:pt>
                <c:pt idx="94">
                  <c:v>1255.2945311920748</c:v>
                </c:pt>
                <c:pt idx="95">
                  <c:v>1264.9117498398093</c:v>
                </c:pt>
                <c:pt idx="96">
                  <c:v>1274.6648130620131</c:v>
                </c:pt>
                <c:pt idx="97">
                  <c:v>1284.5537208586861</c:v>
                </c:pt>
                <c:pt idx="98">
                  <c:v>1294.5784732298278</c:v>
                </c:pt>
                <c:pt idx="99">
                  <c:v>1304.7390701754391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-994.23086875782496</c:v>
                </c:pt>
                <c:pt idx="1">
                  <c:v>-968.30470127058106</c:v>
                </c:pt>
                <c:pt idx="2">
                  <c:v>-942.37853378333716</c:v>
                </c:pt>
                <c:pt idx="3">
                  <c:v>-916.45236629609349</c:v>
                </c:pt>
                <c:pt idx="4">
                  <c:v>-890.52619880884959</c:v>
                </c:pt>
                <c:pt idx="5">
                  <c:v>-864.60003132160568</c:v>
                </c:pt>
                <c:pt idx="6">
                  <c:v>-838.67386383436178</c:v>
                </c:pt>
                <c:pt idx="7">
                  <c:v>-812.74769634711788</c:v>
                </c:pt>
                <c:pt idx="8">
                  <c:v>-786.82152885987398</c:v>
                </c:pt>
                <c:pt idx="9">
                  <c:v>-760.89536137263008</c:v>
                </c:pt>
                <c:pt idx="10">
                  <c:v>-734.96919388538618</c:v>
                </c:pt>
                <c:pt idx="11">
                  <c:v>-709.04302639814239</c:v>
                </c:pt>
                <c:pt idx="12">
                  <c:v>-683.1168589108986</c:v>
                </c:pt>
                <c:pt idx="13">
                  <c:v>-657.1906914236547</c:v>
                </c:pt>
                <c:pt idx="14">
                  <c:v>-631.2645239364108</c:v>
                </c:pt>
                <c:pt idx="15">
                  <c:v>-605.33835644916701</c:v>
                </c:pt>
                <c:pt idx="16">
                  <c:v>-579.41218896192311</c:v>
                </c:pt>
                <c:pt idx="17">
                  <c:v>-553.48602147467921</c:v>
                </c:pt>
                <c:pt idx="18">
                  <c:v>-527.5598539874353</c:v>
                </c:pt>
                <c:pt idx="19">
                  <c:v>-501.63368650019146</c:v>
                </c:pt>
                <c:pt idx="20">
                  <c:v>-475.70751901294756</c:v>
                </c:pt>
                <c:pt idx="21">
                  <c:v>-449.78135152570366</c:v>
                </c:pt>
                <c:pt idx="22">
                  <c:v>-423.85518403845981</c:v>
                </c:pt>
                <c:pt idx="23">
                  <c:v>-397.92901655121602</c:v>
                </c:pt>
                <c:pt idx="24">
                  <c:v>-372.00284906397212</c:v>
                </c:pt>
                <c:pt idx="25">
                  <c:v>-346.07668157672822</c:v>
                </c:pt>
                <c:pt idx="26">
                  <c:v>-320.15051408948437</c:v>
                </c:pt>
                <c:pt idx="27">
                  <c:v>-294.22434660224047</c:v>
                </c:pt>
                <c:pt idx="28">
                  <c:v>-268.29817911499657</c:v>
                </c:pt>
                <c:pt idx="29">
                  <c:v>-242.37201162775281</c:v>
                </c:pt>
                <c:pt idx="30">
                  <c:v>-216.44584414050891</c:v>
                </c:pt>
                <c:pt idx="31">
                  <c:v>-190.51967665326501</c:v>
                </c:pt>
                <c:pt idx="32">
                  <c:v>-164.59350916602114</c:v>
                </c:pt>
                <c:pt idx="33">
                  <c:v>-138.66734167877723</c:v>
                </c:pt>
                <c:pt idx="34">
                  <c:v>-112.74117419153336</c:v>
                </c:pt>
                <c:pt idx="35">
                  <c:v>-86.815006704289459</c:v>
                </c:pt>
                <c:pt idx="36">
                  <c:v>-60.888839217045692</c:v>
                </c:pt>
                <c:pt idx="37">
                  <c:v>-34.962671729801805</c:v>
                </c:pt>
                <c:pt idx="38">
                  <c:v>-9.0365042425579158</c:v>
                </c:pt>
                <c:pt idx="39">
                  <c:v>16.889663244685973</c:v>
                </c:pt>
                <c:pt idx="40">
                  <c:v>42.815830731929864</c:v>
                </c:pt>
                <c:pt idx="41">
                  <c:v>68.741998219173752</c:v>
                </c:pt>
                <c:pt idx="42">
                  <c:v>94.668165706417639</c:v>
                </c:pt>
                <c:pt idx="43">
                  <c:v>120.59433319366153</c:v>
                </c:pt>
                <c:pt idx="44">
                  <c:v>146.52050068090543</c:v>
                </c:pt>
                <c:pt idx="45">
                  <c:v>172.44666816814907</c:v>
                </c:pt>
                <c:pt idx="46">
                  <c:v>198.37283565539298</c:v>
                </c:pt>
                <c:pt idx="47">
                  <c:v>224.29900314263685</c:v>
                </c:pt>
                <c:pt idx="48">
                  <c:v>250.22517062988075</c:v>
                </c:pt>
                <c:pt idx="49">
                  <c:v>276.15133811712462</c:v>
                </c:pt>
                <c:pt idx="50">
                  <c:v>302.07750560436853</c:v>
                </c:pt>
                <c:pt idx="51">
                  <c:v>328.00367309161243</c:v>
                </c:pt>
                <c:pt idx="52">
                  <c:v>353.92984057885627</c:v>
                </c:pt>
                <c:pt idx="53">
                  <c:v>379.85600806610017</c:v>
                </c:pt>
                <c:pt idx="54">
                  <c:v>405.78217555334408</c:v>
                </c:pt>
                <c:pt idx="55">
                  <c:v>431.70834304058798</c:v>
                </c:pt>
                <c:pt idx="56">
                  <c:v>457.63451052783188</c:v>
                </c:pt>
                <c:pt idx="57">
                  <c:v>483.56067801507572</c:v>
                </c:pt>
                <c:pt idx="58">
                  <c:v>509.4868455023194</c:v>
                </c:pt>
                <c:pt idx="59">
                  <c:v>535.4130129895633</c:v>
                </c:pt>
                <c:pt idx="60">
                  <c:v>561.3391804768072</c:v>
                </c:pt>
                <c:pt idx="61">
                  <c:v>587.2653479640511</c:v>
                </c:pt>
                <c:pt idx="62">
                  <c:v>613.191515451295</c:v>
                </c:pt>
                <c:pt idx="63">
                  <c:v>639.11768293853879</c:v>
                </c:pt>
                <c:pt idx="64">
                  <c:v>665.04385042578269</c:v>
                </c:pt>
                <c:pt idx="65">
                  <c:v>690.9700179130266</c:v>
                </c:pt>
                <c:pt idx="66">
                  <c:v>716.8961854002705</c:v>
                </c:pt>
                <c:pt idx="67">
                  <c:v>742.8223528875144</c:v>
                </c:pt>
                <c:pt idx="68">
                  <c:v>768.7485203747583</c:v>
                </c:pt>
                <c:pt idx="69">
                  <c:v>794.6746878620022</c:v>
                </c:pt>
                <c:pt idx="70">
                  <c:v>820.6008553492461</c:v>
                </c:pt>
                <c:pt idx="71">
                  <c:v>846.52702283648966</c:v>
                </c:pt>
                <c:pt idx="72">
                  <c:v>872.45319032373357</c:v>
                </c:pt>
                <c:pt idx="73">
                  <c:v>898.37935781097747</c:v>
                </c:pt>
                <c:pt idx="74">
                  <c:v>924.30552529822137</c:v>
                </c:pt>
                <c:pt idx="75">
                  <c:v>950.23169278546527</c:v>
                </c:pt>
                <c:pt idx="76">
                  <c:v>976.15786027270917</c:v>
                </c:pt>
                <c:pt idx="77">
                  <c:v>1002.0840277599531</c:v>
                </c:pt>
                <c:pt idx="78">
                  <c:v>1028.0101952471969</c:v>
                </c:pt>
                <c:pt idx="79">
                  <c:v>1053.9363627344408</c:v>
                </c:pt>
                <c:pt idx="80">
                  <c:v>1079.8625302216849</c:v>
                </c:pt>
                <c:pt idx="81">
                  <c:v>1105.7886977089286</c:v>
                </c:pt>
                <c:pt idx="82">
                  <c:v>1131.7148651961727</c:v>
                </c:pt>
                <c:pt idx="83">
                  <c:v>1157.6410326834164</c:v>
                </c:pt>
                <c:pt idx="84">
                  <c:v>1183.5672001706605</c:v>
                </c:pt>
                <c:pt idx="85">
                  <c:v>1209.4933676579039</c:v>
                </c:pt>
                <c:pt idx="86">
                  <c:v>1235.4195351451481</c:v>
                </c:pt>
                <c:pt idx="87">
                  <c:v>1261.3457026323917</c:v>
                </c:pt>
                <c:pt idx="88">
                  <c:v>1287.2718701196359</c:v>
                </c:pt>
                <c:pt idx="89">
                  <c:v>1313.1980376068796</c:v>
                </c:pt>
                <c:pt idx="90">
                  <c:v>1339.1242050941232</c:v>
                </c:pt>
                <c:pt idx="91">
                  <c:v>1365.0503725813674</c:v>
                </c:pt>
                <c:pt idx="92">
                  <c:v>1390.976540068611</c:v>
                </c:pt>
                <c:pt idx="93">
                  <c:v>1416.9027075558552</c:v>
                </c:pt>
                <c:pt idx="94">
                  <c:v>1442.8288750430988</c:v>
                </c:pt>
                <c:pt idx="95">
                  <c:v>1468.755042530343</c:v>
                </c:pt>
                <c:pt idx="96">
                  <c:v>1494.6812100175866</c:v>
                </c:pt>
                <c:pt idx="97">
                  <c:v>1520.6073775048308</c:v>
                </c:pt>
                <c:pt idx="98">
                  <c:v>1546.5335449920744</c:v>
                </c:pt>
                <c:pt idx="99">
                  <c:v>1572.4597124793186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-67.808054727749493</c:v>
                </c:pt>
                <c:pt idx="1">
                  <c:v>-67.808054727749493</c:v>
                </c:pt>
                <c:pt idx="2">
                  <c:v>-67.806450342866142</c:v>
                </c:pt>
                <c:pt idx="3">
                  <c:v>-67.734930329691522</c:v>
                </c:pt>
                <c:pt idx="4">
                  <c:v>-67.557278434259246</c:v>
                </c:pt>
                <c:pt idx="5">
                  <c:v>-67.273494656569326</c:v>
                </c:pt>
                <c:pt idx="6">
                  <c:v>-66.883578996621736</c:v>
                </c:pt>
                <c:pt idx="7">
                  <c:v>-66.387531454416518</c:v>
                </c:pt>
                <c:pt idx="8">
                  <c:v>-65.785352029953629</c:v>
                </c:pt>
                <c:pt idx="9">
                  <c:v>-65.077040723233083</c:v>
                </c:pt>
                <c:pt idx="10">
                  <c:v>-64.262597534254894</c:v>
                </c:pt>
                <c:pt idx="11">
                  <c:v>-63.342022463019056</c:v>
                </c:pt>
                <c:pt idx="12">
                  <c:v>-62.315315509525554</c:v>
                </c:pt>
                <c:pt idx="13">
                  <c:v>-61.18247667377441</c:v>
                </c:pt>
                <c:pt idx="14">
                  <c:v>-59.943505955765602</c:v>
                </c:pt>
                <c:pt idx="15">
                  <c:v>-58.598403355499165</c:v>
                </c:pt>
                <c:pt idx="16">
                  <c:v>-57.147168872975058</c:v>
                </c:pt>
                <c:pt idx="17">
                  <c:v>-55.589802508193308</c:v>
                </c:pt>
                <c:pt idx="18">
                  <c:v>-53.926304261153895</c:v>
                </c:pt>
                <c:pt idx="19">
                  <c:v>-52.156674131856839</c:v>
                </c:pt>
                <c:pt idx="20">
                  <c:v>-50.280912120302119</c:v>
                </c:pt>
                <c:pt idx="21">
                  <c:v>-48.299018226489757</c:v>
                </c:pt>
                <c:pt idx="22">
                  <c:v>-46.210992450419738</c:v>
                </c:pt>
                <c:pt idx="23">
                  <c:v>-44.016834792092077</c:v>
                </c:pt>
                <c:pt idx="24">
                  <c:v>-41.716545251506759</c:v>
                </c:pt>
                <c:pt idx="25">
                  <c:v>-39.310123828663777</c:v>
                </c:pt>
                <c:pt idx="26">
                  <c:v>-36.797570523563152</c:v>
                </c:pt>
                <c:pt idx="27">
                  <c:v>-34.178885336204878</c:v>
                </c:pt>
                <c:pt idx="28">
                  <c:v>-31.454068266588941</c:v>
                </c:pt>
                <c:pt idx="29">
                  <c:v>-28.623119314715371</c:v>
                </c:pt>
                <c:pt idx="30">
                  <c:v>-25.686038480584138</c:v>
                </c:pt>
                <c:pt idx="31">
                  <c:v>-22.642825764195251</c:v>
                </c:pt>
                <c:pt idx="32">
                  <c:v>-19.493481165548705</c:v>
                </c:pt>
                <c:pt idx="33">
                  <c:v>-16.238004684644515</c:v>
                </c:pt>
                <c:pt idx="34">
                  <c:v>-12.87639632148267</c:v>
                </c:pt>
                <c:pt idx="35">
                  <c:v>-9.3883727979384641</c:v>
                </c:pt>
                <c:pt idx="36">
                  <c:v>-5.7214139914967586</c:v>
                </c:pt>
                <c:pt idx="37">
                  <c:v>-1.8728298403187904</c:v>
                </c:pt>
                <c:pt idx="38">
                  <c:v>2.1573796555954217</c:v>
                </c:pt>
                <c:pt idx="39">
                  <c:v>6.3692144962458794</c:v>
                </c:pt>
                <c:pt idx="40">
                  <c:v>10.76267468163258</c:v>
                </c:pt>
                <c:pt idx="41">
                  <c:v>15.337760211755526</c:v>
                </c:pt>
                <c:pt idx="42">
                  <c:v>20.094471086614718</c:v>
                </c:pt>
                <c:pt idx="43">
                  <c:v>25.032807306210152</c:v>
                </c:pt>
                <c:pt idx="44">
                  <c:v>30.152768870541831</c:v>
                </c:pt>
                <c:pt idx="45">
                  <c:v>35.454355779609706</c:v>
                </c:pt>
                <c:pt idx="46">
                  <c:v>40.937568033413882</c:v>
                </c:pt>
                <c:pt idx="47">
                  <c:v>46.602405631954298</c:v>
                </c:pt>
                <c:pt idx="48">
                  <c:v>52.448868575230954</c:v>
                </c:pt>
                <c:pt idx="49">
                  <c:v>58.476956863243856</c:v>
                </c:pt>
                <c:pt idx="50">
                  <c:v>64.686670495992999</c:v>
                </c:pt>
                <c:pt idx="51">
                  <c:v>71.078009473478389</c:v>
                </c:pt>
                <c:pt idx="52">
                  <c:v>77.650973795700025</c:v>
                </c:pt>
                <c:pt idx="53">
                  <c:v>84.405563462657909</c:v>
                </c:pt>
                <c:pt idx="54">
                  <c:v>91.341778474352026</c:v>
                </c:pt>
                <c:pt idx="55">
                  <c:v>98.459618830782389</c:v>
                </c:pt>
                <c:pt idx="56">
                  <c:v>105.75908453194901</c:v>
                </c:pt>
                <c:pt idx="57">
                  <c:v>113.24017557785187</c:v>
                </c:pt>
                <c:pt idx="58">
                  <c:v>120.90289196849091</c:v>
                </c:pt>
                <c:pt idx="59">
                  <c:v>128.74723370386624</c:v>
                </c:pt>
                <c:pt idx="60">
                  <c:v>136.77320078397784</c:v>
                </c:pt>
                <c:pt idx="61">
                  <c:v>144.9807932088257</c:v>
                </c:pt>
                <c:pt idx="62">
                  <c:v>153.37001097840977</c:v>
                </c:pt>
                <c:pt idx="63">
                  <c:v>161.94085409273009</c:v>
                </c:pt>
                <c:pt idx="64">
                  <c:v>170.69332255178668</c:v>
                </c:pt>
                <c:pt idx="65">
                  <c:v>179.62741635557947</c:v>
                </c:pt>
                <c:pt idx="66">
                  <c:v>188.74313550410855</c:v>
                </c:pt>
                <c:pt idx="67">
                  <c:v>198.04047999737384</c:v>
                </c:pt>
                <c:pt idx="68">
                  <c:v>207.51944983537538</c:v>
                </c:pt>
                <c:pt idx="69">
                  <c:v>217.18004501811319</c:v>
                </c:pt>
                <c:pt idx="70">
                  <c:v>227.02226554558723</c:v>
                </c:pt>
                <c:pt idx="71">
                  <c:v>237.04611141779745</c:v>
                </c:pt>
                <c:pt idx="72">
                  <c:v>247.25158263474393</c:v>
                </c:pt>
                <c:pt idx="73">
                  <c:v>257.63867919642672</c:v>
                </c:pt>
                <c:pt idx="74">
                  <c:v>268.20740110284572</c:v>
                </c:pt>
                <c:pt idx="75">
                  <c:v>278.95774835400101</c:v>
                </c:pt>
                <c:pt idx="76">
                  <c:v>289.88972094989248</c:v>
                </c:pt>
                <c:pt idx="77">
                  <c:v>301.00331889052023</c:v>
                </c:pt>
                <c:pt idx="78">
                  <c:v>312.29854217588417</c:v>
                </c:pt>
                <c:pt idx="79">
                  <c:v>323.77539080598444</c:v>
                </c:pt>
                <c:pt idx="80">
                  <c:v>335.43386478082101</c:v>
                </c:pt>
                <c:pt idx="81">
                  <c:v>347.27396410039364</c:v>
                </c:pt>
                <c:pt idx="82">
                  <c:v>359.29568876470267</c:v>
                </c:pt>
                <c:pt idx="83">
                  <c:v>371.49903877374783</c:v>
                </c:pt>
                <c:pt idx="84">
                  <c:v>383.88401412752938</c:v>
                </c:pt>
                <c:pt idx="85">
                  <c:v>396.450614826047</c:v>
                </c:pt>
                <c:pt idx="86">
                  <c:v>409.19884086930108</c:v>
                </c:pt>
                <c:pt idx="87">
                  <c:v>422.12869225729116</c:v>
                </c:pt>
                <c:pt idx="88">
                  <c:v>435.24016899001771</c:v>
                </c:pt>
                <c:pt idx="89">
                  <c:v>448.53327106748026</c:v>
                </c:pt>
                <c:pt idx="90">
                  <c:v>462.00799848967904</c:v>
                </c:pt>
                <c:pt idx="91">
                  <c:v>475.6643512566144</c:v>
                </c:pt>
                <c:pt idx="92">
                  <c:v>489.50232936828564</c:v>
                </c:pt>
                <c:pt idx="93">
                  <c:v>503.52193282469347</c:v>
                </c:pt>
                <c:pt idx="94">
                  <c:v>517.72316162583718</c:v>
                </c:pt>
                <c:pt idx="95">
                  <c:v>532.10601577171747</c:v>
                </c:pt>
                <c:pt idx="96">
                  <c:v>546.6704952623337</c:v>
                </c:pt>
                <c:pt idx="97">
                  <c:v>561.41660009768657</c:v>
                </c:pt>
                <c:pt idx="98">
                  <c:v>576.34433027777527</c:v>
                </c:pt>
                <c:pt idx="99">
                  <c:v>591.45368580260049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-994.23086875782496</c:v>
                </c:pt>
                <c:pt idx="1">
                  <c:v>-968.30470127058106</c:v>
                </c:pt>
                <c:pt idx="2">
                  <c:v>-942.37853378333716</c:v>
                </c:pt>
                <c:pt idx="3">
                  <c:v>-916.45236629609349</c:v>
                </c:pt>
                <c:pt idx="4">
                  <c:v>-890.52619880884959</c:v>
                </c:pt>
                <c:pt idx="5">
                  <c:v>-864.60003132160568</c:v>
                </c:pt>
                <c:pt idx="6">
                  <c:v>-838.67386383436178</c:v>
                </c:pt>
                <c:pt idx="7">
                  <c:v>-812.74769634711788</c:v>
                </c:pt>
                <c:pt idx="8">
                  <c:v>-786.82152885987398</c:v>
                </c:pt>
                <c:pt idx="9">
                  <c:v>-760.89536137263008</c:v>
                </c:pt>
                <c:pt idx="10">
                  <c:v>-734.96919388538618</c:v>
                </c:pt>
                <c:pt idx="11">
                  <c:v>-709.04302639814239</c:v>
                </c:pt>
                <c:pt idx="12">
                  <c:v>-683.1168589108986</c:v>
                </c:pt>
                <c:pt idx="13">
                  <c:v>-657.1906914236547</c:v>
                </c:pt>
                <c:pt idx="14">
                  <c:v>-631.2645239364108</c:v>
                </c:pt>
                <c:pt idx="15">
                  <c:v>-605.33835644916701</c:v>
                </c:pt>
                <c:pt idx="16">
                  <c:v>-579.41218896192311</c:v>
                </c:pt>
                <c:pt idx="17">
                  <c:v>-553.48602147467921</c:v>
                </c:pt>
                <c:pt idx="18">
                  <c:v>-527.5598539874353</c:v>
                </c:pt>
                <c:pt idx="19">
                  <c:v>-501.63368650019146</c:v>
                </c:pt>
                <c:pt idx="20">
                  <c:v>-475.70751901294756</c:v>
                </c:pt>
                <c:pt idx="21">
                  <c:v>-449.78135152570366</c:v>
                </c:pt>
                <c:pt idx="22">
                  <c:v>-423.85518403845981</c:v>
                </c:pt>
                <c:pt idx="23">
                  <c:v>-397.92901655121602</c:v>
                </c:pt>
                <c:pt idx="24">
                  <c:v>-372.00284906397212</c:v>
                </c:pt>
                <c:pt idx="25">
                  <c:v>-346.07668157672822</c:v>
                </c:pt>
                <c:pt idx="26">
                  <c:v>-320.15051408948437</c:v>
                </c:pt>
                <c:pt idx="27">
                  <c:v>-294.22434660224047</c:v>
                </c:pt>
                <c:pt idx="28">
                  <c:v>-268.29817911499657</c:v>
                </c:pt>
                <c:pt idx="29">
                  <c:v>-242.37201162775281</c:v>
                </c:pt>
                <c:pt idx="30">
                  <c:v>-216.44584414050891</c:v>
                </c:pt>
                <c:pt idx="31">
                  <c:v>-190.51967665326501</c:v>
                </c:pt>
                <c:pt idx="32">
                  <c:v>-164.59350916602114</c:v>
                </c:pt>
                <c:pt idx="33">
                  <c:v>-138.66734167877723</c:v>
                </c:pt>
                <c:pt idx="34">
                  <c:v>-112.74117419153336</c:v>
                </c:pt>
                <c:pt idx="35">
                  <c:v>-86.815006704289459</c:v>
                </c:pt>
                <c:pt idx="36">
                  <c:v>-60.888839217045692</c:v>
                </c:pt>
                <c:pt idx="37">
                  <c:v>-34.962671729801805</c:v>
                </c:pt>
                <c:pt idx="38">
                  <c:v>-9.0365042425579158</c:v>
                </c:pt>
                <c:pt idx="39">
                  <c:v>16.889663244685973</c:v>
                </c:pt>
                <c:pt idx="40">
                  <c:v>42.815830731929864</c:v>
                </c:pt>
                <c:pt idx="41">
                  <c:v>68.741998219173752</c:v>
                </c:pt>
                <c:pt idx="42">
                  <c:v>94.668165706417639</c:v>
                </c:pt>
                <c:pt idx="43">
                  <c:v>120.59433319366153</c:v>
                </c:pt>
                <c:pt idx="44">
                  <c:v>146.52050068090543</c:v>
                </c:pt>
                <c:pt idx="45">
                  <c:v>172.44666816814907</c:v>
                </c:pt>
                <c:pt idx="46">
                  <c:v>198.37283565539298</c:v>
                </c:pt>
                <c:pt idx="47">
                  <c:v>224.29900314263685</c:v>
                </c:pt>
                <c:pt idx="48">
                  <c:v>250.22517062988075</c:v>
                </c:pt>
                <c:pt idx="49">
                  <c:v>276.15133811712462</c:v>
                </c:pt>
                <c:pt idx="50">
                  <c:v>302.07750560436853</c:v>
                </c:pt>
                <c:pt idx="51">
                  <c:v>328.00367309161243</c:v>
                </c:pt>
                <c:pt idx="52">
                  <c:v>353.92984057885627</c:v>
                </c:pt>
                <c:pt idx="53">
                  <c:v>379.85600806610017</c:v>
                </c:pt>
                <c:pt idx="54">
                  <c:v>405.78217555334408</c:v>
                </c:pt>
                <c:pt idx="55">
                  <c:v>431.70834304058798</c:v>
                </c:pt>
                <c:pt idx="56">
                  <c:v>457.63451052783188</c:v>
                </c:pt>
                <c:pt idx="57">
                  <c:v>483.56067801507572</c:v>
                </c:pt>
                <c:pt idx="58">
                  <c:v>509.4868455023194</c:v>
                </c:pt>
                <c:pt idx="59">
                  <c:v>535.4130129895633</c:v>
                </c:pt>
                <c:pt idx="60">
                  <c:v>561.3391804768072</c:v>
                </c:pt>
                <c:pt idx="61">
                  <c:v>587.2653479640511</c:v>
                </c:pt>
                <c:pt idx="62">
                  <c:v>613.191515451295</c:v>
                </c:pt>
                <c:pt idx="63">
                  <c:v>639.11768293853879</c:v>
                </c:pt>
                <c:pt idx="64">
                  <c:v>665.04385042578269</c:v>
                </c:pt>
                <c:pt idx="65">
                  <c:v>690.9700179130266</c:v>
                </c:pt>
                <c:pt idx="66">
                  <c:v>716.8961854002705</c:v>
                </c:pt>
                <c:pt idx="67">
                  <c:v>742.8223528875144</c:v>
                </c:pt>
                <c:pt idx="68">
                  <c:v>768.7485203747583</c:v>
                </c:pt>
                <c:pt idx="69">
                  <c:v>794.6746878620022</c:v>
                </c:pt>
                <c:pt idx="70">
                  <c:v>820.6008553492461</c:v>
                </c:pt>
                <c:pt idx="71">
                  <c:v>846.52702283648966</c:v>
                </c:pt>
                <c:pt idx="72">
                  <c:v>872.45319032373357</c:v>
                </c:pt>
                <c:pt idx="73">
                  <c:v>898.37935781097747</c:v>
                </c:pt>
                <c:pt idx="74">
                  <c:v>924.30552529822137</c:v>
                </c:pt>
                <c:pt idx="75">
                  <c:v>950.23169278546527</c:v>
                </c:pt>
                <c:pt idx="76">
                  <c:v>976.15786027270917</c:v>
                </c:pt>
                <c:pt idx="77">
                  <c:v>1002.0840277599531</c:v>
                </c:pt>
                <c:pt idx="78">
                  <c:v>1028.0101952471969</c:v>
                </c:pt>
                <c:pt idx="79">
                  <c:v>1053.9363627344408</c:v>
                </c:pt>
                <c:pt idx="80">
                  <c:v>1079.8625302216849</c:v>
                </c:pt>
                <c:pt idx="81">
                  <c:v>1105.7886977089286</c:v>
                </c:pt>
                <c:pt idx="82">
                  <c:v>1131.7148651961727</c:v>
                </c:pt>
                <c:pt idx="83">
                  <c:v>1157.6410326834164</c:v>
                </c:pt>
                <c:pt idx="84">
                  <c:v>1183.5672001706605</c:v>
                </c:pt>
                <c:pt idx="85">
                  <c:v>1209.4933676579039</c:v>
                </c:pt>
                <c:pt idx="86">
                  <c:v>1235.4195351451481</c:v>
                </c:pt>
                <c:pt idx="87">
                  <c:v>1261.3457026323917</c:v>
                </c:pt>
                <c:pt idx="88">
                  <c:v>1287.2718701196359</c:v>
                </c:pt>
                <c:pt idx="89">
                  <c:v>1313.1980376068796</c:v>
                </c:pt>
                <c:pt idx="90">
                  <c:v>1339.1242050941232</c:v>
                </c:pt>
                <c:pt idx="91">
                  <c:v>1365.0503725813674</c:v>
                </c:pt>
                <c:pt idx="92">
                  <c:v>1390.976540068611</c:v>
                </c:pt>
                <c:pt idx="93">
                  <c:v>1416.9027075558552</c:v>
                </c:pt>
                <c:pt idx="94">
                  <c:v>1442.8288750430988</c:v>
                </c:pt>
                <c:pt idx="95">
                  <c:v>1468.755042530343</c:v>
                </c:pt>
                <c:pt idx="96">
                  <c:v>1494.6812100175866</c:v>
                </c:pt>
                <c:pt idx="97">
                  <c:v>1520.6073775048308</c:v>
                </c:pt>
                <c:pt idx="98">
                  <c:v>1546.5335449920744</c:v>
                </c:pt>
                <c:pt idx="99">
                  <c:v>1572.4597124793186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904.28146937538088</c:v>
                </c:pt>
                <c:pt idx="1">
                  <c:v>904.28146937538088</c:v>
                </c:pt>
                <c:pt idx="2">
                  <c:v>904.28215076639572</c:v>
                </c:pt>
                <c:pt idx="3">
                  <c:v>904.31252570626339</c:v>
                </c:pt>
                <c:pt idx="4">
                  <c:v>904.3879754356692</c:v>
                </c:pt>
                <c:pt idx="5">
                  <c:v>904.50849995461328</c:v>
                </c:pt>
                <c:pt idx="6">
                  <c:v>904.6740992630954</c:v>
                </c:pt>
                <c:pt idx="7">
                  <c:v>904.88477336111578</c:v>
                </c:pt>
                <c:pt idx="8">
                  <c:v>905.14052224867453</c:v>
                </c:pt>
                <c:pt idx="9">
                  <c:v>905.44134592577132</c:v>
                </c:pt>
                <c:pt idx="10">
                  <c:v>905.78724439240636</c:v>
                </c:pt>
                <c:pt idx="11">
                  <c:v>906.17821764857956</c:v>
                </c:pt>
                <c:pt idx="12">
                  <c:v>906.61426569429102</c:v>
                </c:pt>
                <c:pt idx="13">
                  <c:v>907.09538852954063</c:v>
                </c:pt>
                <c:pt idx="14">
                  <c:v>907.62158615432838</c:v>
                </c:pt>
                <c:pt idx="15">
                  <c:v>908.1928585686544</c:v>
                </c:pt>
                <c:pt idx="16">
                  <c:v>908.80920577251868</c:v>
                </c:pt>
                <c:pt idx="17">
                  <c:v>909.47062776592099</c:v>
                </c:pt>
                <c:pt idx="18">
                  <c:v>910.17712454886168</c:v>
                </c:pt>
                <c:pt idx="19">
                  <c:v>910.92869612134041</c:v>
                </c:pt>
                <c:pt idx="20">
                  <c:v>911.72534248335739</c:v>
                </c:pt>
                <c:pt idx="21">
                  <c:v>912.56706363491264</c:v>
                </c:pt>
                <c:pt idx="22">
                  <c:v>913.45385957600593</c:v>
                </c:pt>
                <c:pt idx="23">
                  <c:v>914.38573030663747</c:v>
                </c:pt>
                <c:pt idx="24">
                  <c:v>915.36267582680728</c:v>
                </c:pt>
                <c:pt idx="25">
                  <c:v>916.38469613651523</c:v>
                </c:pt>
                <c:pt idx="26">
                  <c:v>917.45179123576145</c:v>
                </c:pt>
                <c:pt idx="27">
                  <c:v>918.56396112454593</c:v>
                </c:pt>
                <c:pt idx="28">
                  <c:v>919.72120580286833</c:v>
                </c:pt>
                <c:pt idx="29">
                  <c:v>920.92352527072921</c:v>
                </c:pt>
                <c:pt idx="30">
                  <c:v>922.17091952812814</c:v>
                </c:pt>
                <c:pt idx="31">
                  <c:v>923.46338857506532</c:v>
                </c:pt>
                <c:pt idx="32">
                  <c:v>924.80093241154066</c:v>
                </c:pt>
                <c:pt idx="33">
                  <c:v>926.18355103755414</c:v>
                </c:pt>
                <c:pt idx="34">
                  <c:v>927.611244453106</c:v>
                </c:pt>
                <c:pt idx="35">
                  <c:v>929.10808815129599</c:v>
                </c:pt>
                <c:pt idx="36">
                  <c:v>930.73642155474829</c:v>
                </c:pt>
                <c:pt idx="37">
                  <c:v>932.49943766633169</c:v>
                </c:pt>
                <c:pt idx="38">
                  <c:v>934.39713648604607</c:v>
                </c:pt>
                <c:pt idx="39">
                  <c:v>936.42951801389131</c:v>
                </c:pt>
                <c:pt idx="40">
                  <c:v>938.59658224986765</c:v>
                </c:pt>
                <c:pt idx="41">
                  <c:v>940.89832919397509</c:v>
                </c:pt>
                <c:pt idx="42">
                  <c:v>943.33475884621339</c:v>
                </c:pt>
                <c:pt idx="43">
                  <c:v>945.90587120658279</c:v>
                </c:pt>
                <c:pt idx="44">
                  <c:v>948.61166627508317</c:v>
                </c:pt>
                <c:pt idx="45">
                  <c:v>951.45214405171453</c:v>
                </c:pt>
                <c:pt idx="46">
                  <c:v>954.42730453647698</c:v>
                </c:pt>
                <c:pt idx="47">
                  <c:v>957.53714772937042</c:v>
                </c:pt>
                <c:pt idx="48">
                  <c:v>960.78167363039472</c:v>
                </c:pt>
                <c:pt idx="49">
                  <c:v>964.16088223955023</c:v>
                </c:pt>
                <c:pt idx="50">
                  <c:v>967.67477355683661</c:v>
                </c:pt>
                <c:pt idx="51">
                  <c:v>971.32334758225409</c:v>
                </c:pt>
                <c:pt idx="52">
                  <c:v>975.10660431580254</c:v>
                </c:pt>
                <c:pt idx="53">
                  <c:v>979.02454375748209</c:v>
                </c:pt>
                <c:pt idx="54">
                  <c:v>983.07716590729262</c:v>
                </c:pt>
                <c:pt idx="55">
                  <c:v>987.26447076523414</c:v>
                </c:pt>
                <c:pt idx="56">
                  <c:v>991.58645833130663</c:v>
                </c:pt>
                <c:pt idx="57">
                  <c:v>996.04312860551011</c:v>
                </c:pt>
                <c:pt idx="58">
                  <c:v>1000.6344815878447</c:v>
                </c:pt>
                <c:pt idx="59">
                  <c:v>1005.3605172783101</c:v>
                </c:pt>
                <c:pt idx="60">
                  <c:v>1010.2212356769066</c:v>
                </c:pt>
                <c:pt idx="61">
                  <c:v>1015.2166367836342</c:v>
                </c:pt>
                <c:pt idx="62">
                  <c:v>1020.3467205984928</c:v>
                </c:pt>
                <c:pt idx="63">
                  <c:v>1025.6114871214825</c:v>
                </c:pt>
                <c:pt idx="64">
                  <c:v>1031.0109363526028</c:v>
                </c:pt>
                <c:pt idx="65">
                  <c:v>1036.5450682918545</c:v>
                </c:pt>
                <c:pt idx="66">
                  <c:v>1042.2138829392372</c:v>
                </c:pt>
                <c:pt idx="67">
                  <c:v>1048.0173802947509</c:v>
                </c:pt>
                <c:pt idx="68">
                  <c:v>1053.9555603583954</c:v>
                </c:pt>
                <c:pt idx="69">
                  <c:v>1060.0284231301712</c:v>
                </c:pt>
                <c:pt idx="70">
                  <c:v>1066.2359686100776</c:v>
                </c:pt>
                <c:pt idx="71">
                  <c:v>1072.5781967981152</c:v>
                </c:pt>
                <c:pt idx="72">
                  <c:v>1079.0551076942841</c:v>
                </c:pt>
                <c:pt idx="73">
                  <c:v>1085.6667012985838</c:v>
                </c:pt>
                <c:pt idx="74">
                  <c:v>1092.4129776110144</c:v>
                </c:pt>
                <c:pt idx="75">
                  <c:v>1099.2939366315761</c:v>
                </c:pt>
                <c:pt idx="76">
                  <c:v>1106.3095783602689</c:v>
                </c:pt>
                <c:pt idx="77">
                  <c:v>1113.4599027970924</c:v>
                </c:pt>
                <c:pt idx="78">
                  <c:v>1120.7449099420471</c:v>
                </c:pt>
                <c:pt idx="79">
                  <c:v>1128.164599795133</c:v>
                </c:pt>
                <c:pt idx="80">
                  <c:v>1135.7189723563497</c:v>
                </c:pt>
                <c:pt idx="81">
                  <c:v>1143.4080276256975</c:v>
                </c:pt>
                <c:pt idx="82">
                  <c:v>1151.2317656031764</c:v>
                </c:pt>
                <c:pt idx="83">
                  <c:v>1159.190186288786</c:v>
                </c:pt>
                <c:pt idx="84">
                  <c:v>1167.2832896825269</c:v>
                </c:pt>
                <c:pt idx="85">
                  <c:v>1175.5110757843984</c:v>
                </c:pt>
                <c:pt idx="86">
                  <c:v>1183.8735445944014</c:v>
                </c:pt>
                <c:pt idx="87">
                  <c:v>1192.3706961125351</c:v>
                </c:pt>
                <c:pt idx="88">
                  <c:v>1201.0025303387999</c:v>
                </c:pt>
                <c:pt idx="89">
                  <c:v>1209.7690472731958</c:v>
                </c:pt>
                <c:pt idx="90">
                  <c:v>1218.6702469157226</c:v>
                </c:pt>
                <c:pt idx="91">
                  <c:v>1227.7061292663802</c:v>
                </c:pt>
                <c:pt idx="92">
                  <c:v>1236.8766943251694</c:v>
                </c:pt>
                <c:pt idx="93">
                  <c:v>1246.1819420920892</c:v>
                </c:pt>
                <c:pt idx="94">
                  <c:v>1255.6218725671401</c:v>
                </c:pt>
                <c:pt idx="95">
                  <c:v>1265.1964857503219</c:v>
                </c:pt>
                <c:pt idx="96">
                  <c:v>1274.9057816416346</c:v>
                </c:pt>
                <c:pt idx="97">
                  <c:v>1284.7497602410788</c:v>
                </c:pt>
                <c:pt idx="98">
                  <c:v>1294.7284215486536</c:v>
                </c:pt>
                <c:pt idx="99">
                  <c:v>1304.8417655643598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23</xdr:row>
      <xdr:rowOff>72469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5" t="s">
        <v>101</v>
      </c>
      <c r="C13" s="175"/>
      <c r="D13" s="174" t="s">
        <v>102</v>
      </c>
      <c r="E13" s="174"/>
      <c r="F13" s="174"/>
      <c r="G13" s="174"/>
      <c r="H13" s="174"/>
      <c r="I13" s="174"/>
      <c r="J13" s="174"/>
      <c r="K13" s="174"/>
      <c r="L13" s="86"/>
    </row>
    <row r="14" spans="1:15" s="85" customFormat="1" ht="20.100000000000001" customHeight="1" outlineLevel="1">
      <c r="A14" s="87"/>
      <c r="B14" s="175" t="s">
        <v>100</v>
      </c>
      <c r="C14" s="175"/>
      <c r="D14" s="174" t="s">
        <v>104</v>
      </c>
      <c r="E14" s="174"/>
      <c r="F14" s="174"/>
      <c r="G14" s="174"/>
      <c r="H14" s="174"/>
      <c r="I14" s="174"/>
      <c r="J14" s="174"/>
      <c r="K14" s="174"/>
      <c r="L14" s="86"/>
    </row>
    <row r="15" spans="1:15" s="85" customFormat="1" ht="20.100000000000001" customHeight="1" outlineLevel="1">
      <c r="A15" s="87"/>
      <c r="B15" s="175" t="s">
        <v>99</v>
      </c>
      <c r="C15" s="175"/>
      <c r="D15" s="174" t="s">
        <v>103</v>
      </c>
      <c r="E15" s="174"/>
      <c r="F15" s="174"/>
      <c r="G15" s="174"/>
      <c r="H15" s="174"/>
      <c r="I15" s="174"/>
      <c r="J15" s="174"/>
      <c r="K15" s="174"/>
      <c r="L15" s="86"/>
    </row>
    <row r="16" spans="1:15" s="85" customFormat="1" ht="20.100000000000001" customHeight="1" outlineLevel="1">
      <c r="A16" s="87"/>
      <c r="B16" s="175" t="s">
        <v>98</v>
      </c>
      <c r="C16" s="175"/>
      <c r="D16" s="174" t="str">
        <f>Title</f>
        <v>Flange Segment Analytical Model for 30° gap size</v>
      </c>
      <c r="E16" s="174"/>
      <c r="F16" s="174"/>
      <c r="G16" s="174"/>
      <c r="H16" s="174"/>
      <c r="I16" s="174"/>
      <c r="J16" s="174"/>
      <c r="K16" s="174"/>
      <c r="L16" s="86"/>
      <c r="M16" s="88"/>
    </row>
    <row r="17" spans="1:22" s="85" customFormat="1" ht="20.100000000000001" customHeight="1" outlineLevel="1">
      <c r="A17" s="87"/>
      <c r="B17" s="175" t="s">
        <v>97</v>
      </c>
      <c r="C17" s="175"/>
      <c r="D17" s="173" t="s">
        <v>325</v>
      </c>
      <c r="E17" s="174"/>
      <c r="F17" s="174"/>
      <c r="G17" s="174"/>
      <c r="H17" s="174"/>
      <c r="I17" s="174"/>
      <c r="J17" s="174"/>
      <c r="K17" s="174"/>
      <c r="L17" s="86"/>
    </row>
    <row r="18" spans="1:22" s="85" customFormat="1" ht="20.100000000000001" customHeight="1" outlineLevel="1">
      <c r="A18" s="87"/>
      <c r="B18" s="175" t="s">
        <v>96</v>
      </c>
      <c r="C18" s="175"/>
      <c r="D18" s="185"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-914.51269462145092</v>
      </c>
      <c r="P66" s="71">
        <v>-887.95062697010678</v>
      </c>
      <c r="Q66" s="71">
        <v>-861.38855931876253</v>
      </c>
      <c r="R66" s="71">
        <v>-834.82649166741828</v>
      </c>
      <c r="S66" s="71">
        <v>-808.26442401607403</v>
      </c>
      <c r="T66" s="71">
        <v>-781.70235636472978</v>
      </c>
      <c r="U66" s="71">
        <v>-755.14028871338553</v>
      </c>
      <c r="V66" s="71">
        <v>-728.57822106204139</v>
      </c>
      <c r="W66" s="71">
        <v>-702.01615341069714</v>
      </c>
      <c r="X66" s="71">
        <v>-675.45408575935289</v>
      </c>
      <c r="Y66" s="71">
        <v>-648.89201810800864</v>
      </c>
      <c r="Z66" s="71">
        <v>-622.32995045666439</v>
      </c>
      <c r="AA66" s="71">
        <v>-595.76788280532026</v>
      </c>
      <c r="AB66" s="71">
        <v>-569.205815153976</v>
      </c>
      <c r="AC66" s="71">
        <v>-542.64374750263175</v>
      </c>
      <c r="AD66" s="71">
        <v>-516.08167985128762</v>
      </c>
      <c r="AE66" s="71">
        <v>-489.51961219994331</v>
      </c>
      <c r="AF66" s="71">
        <v>-462.95754454859912</v>
      </c>
      <c r="AG66" s="71">
        <v>-436.39547689725487</v>
      </c>
      <c r="AH66" s="71">
        <v>-409.83340924591067</v>
      </c>
      <c r="AI66" s="71">
        <v>-383.27134159456648</v>
      </c>
      <c r="AJ66" s="71">
        <v>-356.70927394322223</v>
      </c>
      <c r="AK66" s="71">
        <v>-330.14720629187804</v>
      </c>
      <c r="AL66" s="71">
        <v>-303.58513864053378</v>
      </c>
      <c r="AM66" s="71">
        <v>-277.02307098918953</v>
      </c>
      <c r="AN66" s="71">
        <v>-250.46100333784531</v>
      </c>
      <c r="AO66" s="71">
        <v>-223.89893568650109</v>
      </c>
      <c r="AP66" s="71">
        <v>-197.33686803515687</v>
      </c>
      <c r="AQ66" s="71">
        <v>-170.77480038381262</v>
      </c>
      <c r="AR66" s="71">
        <v>-144.2127327324684</v>
      </c>
      <c r="AS66" s="71">
        <v>-117.65066508112417</v>
      </c>
      <c r="AT66" s="71">
        <v>-91.088597429779938</v>
      </c>
      <c r="AU66" s="71">
        <v>-64.526529778435716</v>
      </c>
      <c r="AV66" s="71">
        <v>-37.96446212709148</v>
      </c>
      <c r="AW66" s="71">
        <v>-11.402394475747249</v>
      </c>
      <c r="AX66" s="71">
        <v>15.159673175596982</v>
      </c>
      <c r="AY66" s="71">
        <v>41.721740826941215</v>
      </c>
      <c r="AZ66" s="71">
        <v>68.283808478285437</v>
      </c>
      <c r="BA66" s="71">
        <v>94.845876129629673</v>
      </c>
      <c r="BB66" s="71">
        <v>121.40794378097391</v>
      </c>
      <c r="BC66" s="71">
        <v>147.97001143231802</v>
      </c>
      <c r="BD66" s="71">
        <v>174.53207908366224</v>
      </c>
      <c r="BE66" s="71">
        <v>201.09414673500649</v>
      </c>
      <c r="BF66" s="71">
        <v>227.65621438635071</v>
      </c>
      <c r="BG66" s="71">
        <v>254.21828203769493</v>
      </c>
      <c r="BH66" s="71">
        <v>280.78034968903916</v>
      </c>
      <c r="BI66" s="71">
        <v>307.34241734038341</v>
      </c>
      <c r="BJ66" s="71">
        <v>333.90448499172766</v>
      </c>
      <c r="BK66" s="71">
        <v>360.46655264307185</v>
      </c>
      <c r="BL66" s="71">
        <v>387.0286202944161</v>
      </c>
      <c r="BM66" s="71">
        <v>413.59068794576029</v>
      </c>
      <c r="BN66" s="71">
        <v>440.15275559710454</v>
      </c>
      <c r="BO66" s="71">
        <v>466.71482324844879</v>
      </c>
      <c r="BP66" s="71">
        <v>493.27689089979299</v>
      </c>
      <c r="BQ66" s="71">
        <v>519.83895855113724</v>
      </c>
      <c r="BR66" s="71">
        <v>546.40102620248149</v>
      </c>
      <c r="BS66" s="71">
        <v>572.96309385382574</v>
      </c>
      <c r="BT66" s="71">
        <v>599.52516150516999</v>
      </c>
      <c r="BU66" s="71">
        <v>626.08722915651413</v>
      </c>
      <c r="BV66" s="71">
        <v>652.64929680785838</v>
      </c>
      <c r="BW66" s="71">
        <v>679.21136445920263</v>
      </c>
      <c r="BX66" s="71">
        <v>705.77343211054688</v>
      </c>
      <c r="BY66" s="71">
        <v>732.33549976189113</v>
      </c>
      <c r="BZ66" s="71">
        <v>758.89756741323527</v>
      </c>
      <c r="CA66" s="71">
        <v>785.45963506457952</v>
      </c>
      <c r="CB66" s="71">
        <v>812.02170271592377</v>
      </c>
      <c r="CC66" s="71">
        <v>838.58377036726802</v>
      </c>
      <c r="CD66" s="71">
        <v>865.14583801861227</v>
      </c>
      <c r="CE66" s="71">
        <v>891.70790566995652</v>
      </c>
      <c r="CF66" s="71">
        <v>918.26997332130065</v>
      </c>
      <c r="CG66" s="71">
        <v>944.8320409726449</v>
      </c>
      <c r="CH66" s="71">
        <v>971.39410862398915</v>
      </c>
      <c r="CI66" s="71">
        <v>997.95617627533341</v>
      </c>
      <c r="CJ66" s="71">
        <v>1024.5182439266775</v>
      </c>
      <c r="CK66" s="71">
        <v>1051.0803115780218</v>
      </c>
      <c r="CL66" s="71">
        <v>1077.642379229366</v>
      </c>
      <c r="CM66" s="71">
        <v>1104.2044468807103</v>
      </c>
      <c r="CN66" s="71">
        <v>1130.7665145320545</v>
      </c>
      <c r="CO66" s="71">
        <v>1157.3285821833988</v>
      </c>
      <c r="CP66" s="71">
        <v>1183.890649834743</v>
      </c>
      <c r="CQ66" s="71">
        <v>1210.4527174860871</v>
      </c>
      <c r="CR66" s="71">
        <v>1237.0147851374315</v>
      </c>
      <c r="CS66" s="71">
        <v>1263.5768527887756</v>
      </c>
      <c r="CT66" s="71">
        <v>1290.1389204401198</v>
      </c>
      <c r="CU66" s="71">
        <v>1316.7009880914638</v>
      </c>
      <c r="CV66" s="71">
        <v>1343.2630557428083</v>
      </c>
      <c r="CW66" s="71">
        <v>1369.8251233941523</v>
      </c>
      <c r="CX66" s="71">
        <v>1396.3871910454968</v>
      </c>
      <c r="CY66" s="71">
        <v>1422.9492586968408</v>
      </c>
      <c r="CZ66" s="71">
        <v>1449.5113263481853</v>
      </c>
      <c r="DA66" s="71">
        <v>1476.0733939995293</v>
      </c>
      <c r="DB66" s="71">
        <v>1502.6354616508738</v>
      </c>
      <c r="DC66" s="71">
        <v>1529.1975293022178</v>
      </c>
      <c r="DD66" s="71">
        <v>1555.7595969535623</v>
      </c>
      <c r="DE66" s="71">
        <v>1582.3216646049061</v>
      </c>
      <c r="DF66" s="71">
        <v>1608.8837322562506</v>
      </c>
      <c r="DG66" s="71">
        <v>1635.4457999075946</v>
      </c>
      <c r="DH66" s="71">
        <v>1662.0078675589391</v>
      </c>
      <c r="DI66" s="71">
        <v>1688.5699352102831</v>
      </c>
      <c r="DJ66" s="71">
        <v>1715.1320028616276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907.98514203480443</v>
      </c>
      <c r="P67" s="71">
        <v>907.98514203480443</v>
      </c>
      <c r="Q67" s="71">
        <v>907.98827695069838</v>
      </c>
      <c r="R67" s="71">
        <v>908.02978914515302</v>
      </c>
      <c r="S67" s="71">
        <v>908.1195426811222</v>
      </c>
      <c r="T67" s="71">
        <v>908.25753755860603</v>
      </c>
      <c r="U67" s="71">
        <v>908.44377377760418</v>
      </c>
      <c r="V67" s="71">
        <v>908.67825133811709</v>
      </c>
      <c r="W67" s="71">
        <v>908.96097024014443</v>
      </c>
      <c r="X67" s="71">
        <v>909.29193048368631</v>
      </c>
      <c r="Y67" s="71">
        <v>909.67113206874262</v>
      </c>
      <c r="Z67" s="71">
        <v>910.09857499531358</v>
      </c>
      <c r="AA67" s="71">
        <v>910.57425926339897</v>
      </c>
      <c r="AB67" s="71">
        <v>911.09818487299901</v>
      </c>
      <c r="AC67" s="71">
        <v>911.67035182411337</v>
      </c>
      <c r="AD67" s="71">
        <v>912.29076011674249</v>
      </c>
      <c r="AE67" s="71">
        <v>912.95940975088604</v>
      </c>
      <c r="AF67" s="71">
        <v>913.67630072654413</v>
      </c>
      <c r="AG67" s="71">
        <v>914.44143304371687</v>
      </c>
      <c r="AH67" s="71">
        <v>915.25480670240393</v>
      </c>
      <c r="AI67" s="71">
        <v>916.11642170260563</v>
      </c>
      <c r="AJ67" s="71">
        <v>917.02627804432188</v>
      </c>
      <c r="AK67" s="71">
        <v>917.98437572755267</v>
      </c>
      <c r="AL67" s="71">
        <v>918.990714752298</v>
      </c>
      <c r="AM67" s="71">
        <v>920.04529511855776</v>
      </c>
      <c r="AN67" s="71">
        <v>921.14811682633206</v>
      </c>
      <c r="AO67" s="71">
        <v>922.29917987562101</v>
      </c>
      <c r="AP67" s="71">
        <v>923.49848426642438</v>
      </c>
      <c r="AQ67" s="71">
        <v>924.74602999874242</v>
      </c>
      <c r="AR67" s="71">
        <v>926.04181707257487</v>
      </c>
      <c r="AS67" s="71">
        <v>927.38584548792187</v>
      </c>
      <c r="AT67" s="71">
        <v>928.78913328037049</v>
      </c>
      <c r="AU67" s="71">
        <v>930.30519859985316</v>
      </c>
      <c r="AV67" s="71">
        <v>931.94114759513434</v>
      </c>
      <c r="AW67" s="71">
        <v>933.69698026621393</v>
      </c>
      <c r="AX67" s="71">
        <v>935.57269661309169</v>
      </c>
      <c r="AY67" s="71">
        <v>937.56829663576798</v>
      </c>
      <c r="AZ67" s="71">
        <v>939.68378033424278</v>
      </c>
      <c r="BA67" s="71">
        <v>941.91914770851588</v>
      </c>
      <c r="BB67" s="71">
        <v>944.27439875858727</v>
      </c>
      <c r="BC67" s="71">
        <v>946.74953348445717</v>
      </c>
      <c r="BD67" s="71">
        <v>949.34455188612549</v>
      </c>
      <c r="BE67" s="71">
        <v>952.0594539635922</v>
      </c>
      <c r="BF67" s="71">
        <v>954.89423971685721</v>
      </c>
      <c r="BG67" s="71">
        <v>957.84890914592063</v>
      </c>
      <c r="BH67" s="71">
        <v>960.92346225078256</v>
      </c>
      <c r="BI67" s="71">
        <v>964.11789903144268</v>
      </c>
      <c r="BJ67" s="71">
        <v>967.43221948790131</v>
      </c>
      <c r="BK67" s="71">
        <v>970.86642362015834</v>
      </c>
      <c r="BL67" s="71">
        <v>974.42051142821379</v>
      </c>
      <c r="BM67" s="71">
        <v>978.09448291206752</v>
      </c>
      <c r="BN67" s="71">
        <v>981.88833807171977</v>
      </c>
      <c r="BO67" s="71">
        <v>985.80207690717032</v>
      </c>
      <c r="BP67" s="71">
        <v>989.83569941841927</v>
      </c>
      <c r="BQ67" s="71">
        <v>993.98920560546674</v>
      </c>
      <c r="BR67" s="71">
        <v>998.2625954683125</v>
      </c>
      <c r="BS67" s="71">
        <v>1002.6558690069566</v>
      </c>
      <c r="BT67" s="71">
        <v>1007.1690262213992</v>
      </c>
      <c r="BU67" s="71">
        <v>1011.8020671116401</v>
      </c>
      <c r="BV67" s="71">
        <v>1016.5549916776794</v>
      </c>
      <c r="BW67" s="71">
        <v>1021.4277999195172</v>
      </c>
      <c r="BX67" s="71">
        <v>1026.4204918371531</v>
      </c>
      <c r="BY67" s="71">
        <v>1031.5330674305876</v>
      </c>
      <c r="BZ67" s="71">
        <v>1036.7655266998206</v>
      </c>
      <c r="CA67" s="71">
        <v>1042.1178696448519</v>
      </c>
      <c r="CB67" s="71">
        <v>1047.5900962656817</v>
      </c>
      <c r="CC67" s="71">
        <v>1053.1822065623098</v>
      </c>
      <c r="CD67" s="71">
        <v>1058.8942005347362</v>
      </c>
      <c r="CE67" s="71">
        <v>1064.7260781829611</v>
      </c>
      <c r="CF67" s="71">
        <v>1070.6778395069841</v>
      </c>
      <c r="CG67" s="71">
        <v>1076.7494845068059</v>
      </c>
      <c r="CH67" s="71">
        <v>1082.9410131824259</v>
      </c>
      <c r="CI67" s="71">
        <v>1089.2524255338444</v>
      </c>
      <c r="CJ67" s="71">
        <v>1095.6837215610612</v>
      </c>
      <c r="CK67" s="71">
        <v>1102.2349012640766</v>
      </c>
      <c r="CL67" s="71">
        <v>1108.90596464289</v>
      </c>
      <c r="CM67" s="71">
        <v>1115.6969116975019</v>
      </c>
      <c r="CN67" s="71">
        <v>1122.6077424279126</v>
      </c>
      <c r="CO67" s="71">
        <v>1129.6384568341211</v>
      </c>
      <c r="CP67" s="71">
        <v>1136.7890549161284</v>
      </c>
      <c r="CQ67" s="71">
        <v>1144.059536673934</v>
      </c>
      <c r="CR67" s="71">
        <v>1151.449902107538</v>
      </c>
      <c r="CS67" s="71">
        <v>1158.9601512169402</v>
      </c>
      <c r="CT67" s="71">
        <v>1166.5902840021411</v>
      </c>
      <c r="CU67" s="71">
        <v>1174.34030046314</v>
      </c>
      <c r="CV67" s="71">
        <v>1182.2102005999377</v>
      </c>
      <c r="CW67" s="71">
        <v>1190.1999844125337</v>
      </c>
      <c r="CX67" s="71">
        <v>1198.309651900928</v>
      </c>
      <c r="CY67" s="71">
        <v>1206.5392030651205</v>
      </c>
      <c r="CZ67" s="71">
        <v>1214.8886379051119</v>
      </c>
      <c r="DA67" s="71">
        <v>1223.3579564209012</v>
      </c>
      <c r="DB67" s="71">
        <v>1231.9471586124891</v>
      </c>
      <c r="DC67" s="71">
        <v>1240.6562444798753</v>
      </c>
      <c r="DD67" s="71">
        <v>1249.4852140230601</v>
      </c>
      <c r="DE67" s="71">
        <v>1258.4340672420431</v>
      </c>
      <c r="DF67" s="71">
        <v>1267.5028041368246</v>
      </c>
      <c r="DG67" s="71">
        <v>1276.6914247074044</v>
      </c>
      <c r="DH67" s="71">
        <v>1285.9999289537827</v>
      </c>
      <c r="DI67" s="71">
        <v>1295.4283168759594</v>
      </c>
      <c r="DJ67" s="71">
        <v>1304.9765884739343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-57.472764381928819</v>
      </c>
      <c r="P68" s="71">
        <v>-57.472764381928819</v>
      </c>
      <c r="Q68" s="71">
        <v>-57.465478782893186</v>
      </c>
      <c r="R68" s="71">
        <v>-57.369003721322457</v>
      </c>
      <c r="S68" s="71">
        <v>-57.160414943432755</v>
      </c>
      <c r="T68" s="71">
        <v>-56.839712449224074</v>
      </c>
      <c r="U68" s="71">
        <v>-56.406896238696426</v>
      </c>
      <c r="V68" s="71">
        <v>-55.861966311849784</v>
      </c>
      <c r="W68" s="71">
        <v>-55.204922668684169</v>
      </c>
      <c r="X68" s="71">
        <v>-54.435765309199589</v>
      </c>
      <c r="Y68" s="71">
        <v>-53.554494233396021</v>
      </c>
      <c r="Z68" s="71">
        <v>-52.561109441273487</v>
      </c>
      <c r="AA68" s="71">
        <v>-51.455610932831959</v>
      </c>
      <c r="AB68" s="71">
        <v>-50.237998708071459</v>
      </c>
      <c r="AC68" s="71">
        <v>-48.908272766991985</v>
      </c>
      <c r="AD68" s="71">
        <v>-47.466433109593538</v>
      </c>
      <c r="AE68" s="71">
        <v>-45.912479735876104</v>
      </c>
      <c r="AF68" s="71">
        <v>-44.246412645839698</v>
      </c>
      <c r="AG68" s="71">
        <v>-42.468231839484318</v>
      </c>
      <c r="AH68" s="71">
        <v>-40.577937316809951</v>
      </c>
      <c r="AI68" s="71">
        <v>-38.575529077816618</v>
      </c>
      <c r="AJ68" s="71">
        <v>-36.461007122504306</v>
      </c>
      <c r="AK68" s="71">
        <v>-34.234371450873013</v>
      </c>
      <c r="AL68" s="71">
        <v>-31.89562206292274</v>
      </c>
      <c r="AM68" s="71">
        <v>-29.444758958653487</v>
      </c>
      <c r="AN68" s="71">
        <v>-26.881782138065265</v>
      </c>
      <c r="AO68" s="71">
        <v>-24.206691601158063</v>
      </c>
      <c r="AP68" s="71">
        <v>-21.419487347931884</v>
      </c>
      <c r="AQ68" s="71">
        <v>-18.520169378386722</v>
      </c>
      <c r="AR68" s="71">
        <v>-15.508737692522587</v>
      </c>
      <c r="AS68" s="71">
        <v>-12.385192290339475</v>
      </c>
      <c r="AT68" s="71">
        <v>-9.1379884610413349</v>
      </c>
      <c r="AU68" s="71">
        <v>-5.7110498234596978</v>
      </c>
      <c r="AV68" s="71">
        <v>-2.0969305464653245</v>
      </c>
      <c r="AW68" s="71">
        <v>1.704369369941785</v>
      </c>
      <c r="AX68" s="71">
        <v>5.6928499257616298</v>
      </c>
      <c r="AY68" s="71">
        <v>9.8685111209942118</v>
      </c>
      <c r="AZ68" s="71">
        <v>14.231352955639528</v>
      </c>
      <c r="BA68" s="71">
        <v>18.781375429697579</v>
      </c>
      <c r="BB68" s="71">
        <v>23.51857854316837</v>
      </c>
      <c r="BC68" s="71">
        <v>28.442962296051871</v>
      </c>
      <c r="BD68" s="71">
        <v>33.554526688348133</v>
      </c>
      <c r="BE68" s="71">
        <v>38.85327172005713</v>
      </c>
      <c r="BF68" s="71">
        <v>44.339197391178857</v>
      </c>
      <c r="BG68" s="71">
        <v>50.012303701713329</v>
      </c>
      <c r="BH68" s="71">
        <v>55.872590651660531</v>
      </c>
      <c r="BI68" s="71">
        <v>61.920058241020463</v>
      </c>
      <c r="BJ68" s="71">
        <v>68.15470646979314</v>
      </c>
      <c r="BK68" s="71">
        <v>74.576535337978555</v>
      </c>
      <c r="BL68" s="71">
        <v>81.1855448455767</v>
      </c>
      <c r="BM68" s="71">
        <v>87.981734992587576</v>
      </c>
      <c r="BN68" s="71">
        <v>94.965105779011196</v>
      </c>
      <c r="BO68" s="71">
        <v>102.13565720484755</v>
      </c>
      <c r="BP68" s="71">
        <v>109.49338927009664</v>
      </c>
      <c r="BQ68" s="71">
        <v>117.03830197475847</v>
      </c>
      <c r="BR68" s="71">
        <v>124.77039531883302</v>
      </c>
      <c r="BS68" s="71">
        <v>132.68966930232031</v>
      </c>
      <c r="BT68" s="71">
        <v>140.79612392522037</v>
      </c>
      <c r="BU68" s="71">
        <v>149.0897591875331</v>
      </c>
      <c r="BV68" s="71">
        <v>157.57057508925863</v>
      </c>
      <c r="BW68" s="71">
        <v>166.23857163039688</v>
      </c>
      <c r="BX68" s="71">
        <v>175.09374881094783</v>
      </c>
      <c r="BY68" s="71">
        <v>184.13610663091157</v>
      </c>
      <c r="BZ68" s="71">
        <v>193.36564509028801</v>
      </c>
      <c r="CA68" s="71">
        <v>202.78236418907719</v>
      </c>
      <c r="CB68" s="71">
        <v>212.38626392727912</v>
      </c>
      <c r="CC68" s="71">
        <v>222.17734430489375</v>
      </c>
      <c r="CD68" s="71">
        <v>232.15560532192114</v>
      </c>
      <c r="CE68" s="71">
        <v>242.3210469783613</v>
      </c>
      <c r="CF68" s="71">
        <v>252.67366927421415</v>
      </c>
      <c r="CG68" s="71">
        <v>263.21347220947973</v>
      </c>
      <c r="CH68" s="71">
        <v>273.94045578415808</v>
      </c>
      <c r="CI68" s="71">
        <v>284.85461999824912</v>
      </c>
      <c r="CJ68" s="71">
        <v>295.95596485175287</v>
      </c>
      <c r="CK68" s="71">
        <v>307.24449034466949</v>
      </c>
      <c r="CL68" s="71">
        <v>318.72019647699875</v>
      </c>
      <c r="CM68" s="71">
        <v>330.38308324874077</v>
      </c>
      <c r="CN68" s="71">
        <v>342.2331506598955</v>
      </c>
      <c r="CO68" s="71">
        <v>354.27039871046298</v>
      </c>
      <c r="CP68" s="71">
        <v>366.49482740044317</v>
      </c>
      <c r="CQ68" s="71">
        <v>378.906436729836</v>
      </c>
      <c r="CR68" s="71">
        <v>391.50522669864182</v>
      </c>
      <c r="CS68" s="71">
        <v>404.29119730686017</v>
      </c>
      <c r="CT68" s="71">
        <v>417.26434855449145</v>
      </c>
      <c r="CU68" s="71">
        <v>430.42468044153526</v>
      </c>
      <c r="CV68" s="71">
        <v>443.77219296799194</v>
      </c>
      <c r="CW68" s="71">
        <v>457.30688613386121</v>
      </c>
      <c r="CX68" s="71">
        <v>471.02875993914353</v>
      </c>
      <c r="CY68" s="71">
        <v>484.93781438383814</v>
      </c>
      <c r="CZ68" s="71">
        <v>499.03404946794586</v>
      </c>
      <c r="DA68" s="71">
        <v>513.31746519146611</v>
      </c>
      <c r="DB68" s="71">
        <v>527.78806155439929</v>
      </c>
      <c r="DC68" s="71">
        <v>542.44583855674489</v>
      </c>
      <c r="DD68" s="71">
        <v>557.2907961985037</v>
      </c>
      <c r="DE68" s="71">
        <v>572.3229344796747</v>
      </c>
      <c r="DF68" s="71">
        <v>587.5422534002588</v>
      </c>
      <c r="DG68" s="71">
        <v>602.94875296025543</v>
      </c>
      <c r="DH68" s="71">
        <v>618.54243315966505</v>
      </c>
      <c r="DI68" s="71">
        <v>634.32329399848709</v>
      </c>
      <c r="DJ68" s="71">
        <v>650.29133547672222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1633.4590503444072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121.86421587998476</v>
      </c>
      <c r="K85" s="79">
        <v>944.31590361981341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-870.96447106804851</v>
      </c>
      <c r="K86" s="79">
        <v>907.98514203480443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934487.49016305583</v>
      </c>
      <c r="J89" s="80">
        <v>7.0297140678302492E-2</v>
      </c>
      <c r="K89" s="80">
        <v>8.4958394732391616E-8</v>
      </c>
      <c r="L89" s="3"/>
      <c r="N89" s="1" t="s">
        <v>321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933918.96264608251</v>
      </c>
      <c r="J90" s="80">
        <v>5.9551959862325636E-2</v>
      </c>
      <c r="K90" s="80">
        <v>3.4187364605870839E-8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907985.14203480445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301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302</v>
      </c>
      <c r="R112" s="137">
        <f>R111/2/(J113-J116)</f>
        <v>2.9406211311430822E-4</v>
      </c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-10.957886527658451</v>
      </c>
      <c r="L113" s="3"/>
      <c r="Q113" s="70" t="s">
        <v>303</v>
      </c>
      <c r="R113" s="1">
        <f>R111-2*R112*J113</f>
        <v>0.51223530561951225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1633.4590503444072</v>
      </c>
      <c r="K114" s="79">
        <v>601.78992415587925</v>
      </c>
      <c r="L114" s="3"/>
      <c r="Q114" s="70" t="s">
        <v>304</v>
      </c>
      <c r="R114" s="1">
        <f>point1.Ms-R113*J113-R112*J113^2</f>
        <v>39.953983492669941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121.86421587998476</v>
      </c>
      <c r="K115" s="79">
        <v>23.60158750982303</v>
      </c>
      <c r="L115" s="3"/>
      <c r="Q115" s="1" t="s">
        <v>305</v>
      </c>
      <c r="R115" s="1">
        <f>R114+R113*J116+R112*J116^2</f>
        <v>-183.11539251796941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-870.96447106804851</v>
      </c>
      <c r="K116" s="79">
        <v>-57.472764381928819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3.3935893671705037</v>
      </c>
      <c r="J119" s="80">
        <v>1.4965860322804902E-4</v>
      </c>
      <c r="K119" s="80">
        <v>1.3264997543311835E-10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2.7978855585225935</v>
      </c>
      <c r="J120" s="80">
        <v>1.3839978998579029E-4</v>
      </c>
      <c r="K120" s="80">
        <v>7.9452029665500041E-11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-57.472764381928819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8412.8476431575564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1.0505535851722823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328</v>
      </c>
      <c r="C148" s="8"/>
      <c r="D148" s="8"/>
      <c r="E148" s="8"/>
      <c r="F148" s="8"/>
      <c r="G148" s="8"/>
      <c r="H148" s="8"/>
      <c r="I148" s="81" t="s">
        <v>83</v>
      </c>
      <c r="J148" s="62">
        <v>-428.90821899701831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-765.14447106804846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7.1660231504206029E-2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29.999999999999996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5.2316546017139129E-2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0.12158456242738384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-45.698855457904237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-10.957886527658451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3.3646012523459714E-3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-45.655669996311055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-10.946404378279803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2.0198628444678262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1.5</v>
      </c>
      <c r="K177" s="4"/>
      <c r="L177" s="3"/>
    </row>
    <row r="181" spans="1:12" ht="13.2">
      <c r="B181" s="69"/>
      <c r="C181" s="69"/>
      <c r="D181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293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5" t="s">
        <v>101</v>
      </c>
      <c r="C13" s="175"/>
      <c r="D13" s="174" t="str">
        <f>Gap30deg!D13</f>
        <v>SP2200052</v>
      </c>
      <c r="E13" s="174"/>
      <c r="F13" s="174"/>
      <c r="G13" s="174"/>
      <c r="H13" s="174"/>
      <c r="I13" s="174"/>
      <c r="J13" s="174"/>
      <c r="K13" s="174"/>
      <c r="L13" s="86"/>
    </row>
    <row r="14" spans="1:15" s="85" customFormat="1" ht="20.100000000000001" customHeight="1" outlineLevel="1">
      <c r="A14" s="87"/>
      <c r="B14" s="175" t="s">
        <v>100</v>
      </c>
      <c r="C14" s="175"/>
      <c r="D14" s="174" t="str">
        <f>Gap30deg!D14</f>
        <v>Stichting GROW</v>
      </c>
      <c r="E14" s="174"/>
      <c r="F14" s="174"/>
      <c r="G14" s="174"/>
      <c r="H14" s="174"/>
      <c r="I14" s="174"/>
      <c r="J14" s="174"/>
      <c r="K14" s="174"/>
      <c r="L14" s="86"/>
    </row>
    <row r="15" spans="1:15" s="85" customFormat="1" ht="20.100000000000001" customHeight="1" outlineLevel="1">
      <c r="A15" s="87"/>
      <c r="B15" s="175" t="s">
        <v>99</v>
      </c>
      <c r="C15" s="175"/>
      <c r="D15" s="174" t="str">
        <f>Gap30deg!D15</f>
        <v>Bolt and Beautiful</v>
      </c>
      <c r="E15" s="174"/>
      <c r="F15" s="174"/>
      <c r="G15" s="174"/>
      <c r="H15" s="174"/>
      <c r="I15" s="174"/>
      <c r="J15" s="174"/>
      <c r="K15" s="174"/>
      <c r="L15" s="86"/>
    </row>
    <row r="16" spans="1:15" s="85" customFormat="1" ht="20.100000000000001" customHeight="1" outlineLevel="1">
      <c r="A16" s="87"/>
      <c r="B16" s="175" t="s">
        <v>98</v>
      </c>
      <c r="C16" s="175"/>
      <c r="D16" s="174" t="str">
        <f>Title</f>
        <v>Flange Segment Analytical Model for 60° gap size</v>
      </c>
      <c r="E16" s="174"/>
      <c r="F16" s="174"/>
      <c r="G16" s="174"/>
      <c r="H16" s="174"/>
      <c r="I16" s="174"/>
      <c r="J16" s="174"/>
      <c r="K16" s="174"/>
      <c r="L16" s="86"/>
      <c r="M16" s="88"/>
    </row>
    <row r="17" spans="1:22" s="85" customFormat="1" ht="20.100000000000001" customHeight="1" outlineLevel="1">
      <c r="A17" s="87"/>
      <c r="B17" s="175" t="s">
        <v>97</v>
      </c>
      <c r="C17" s="175"/>
      <c r="D17" s="174" t="str">
        <f>Gap30deg!D17</f>
        <v>0.10</v>
      </c>
      <c r="E17" s="174"/>
      <c r="F17" s="174"/>
      <c r="G17" s="174"/>
      <c r="H17" s="174"/>
      <c r="I17" s="174"/>
      <c r="J17" s="174"/>
      <c r="K17" s="174"/>
      <c r="L17" s="86"/>
    </row>
    <row r="18" spans="1:22" s="85" customFormat="1" ht="20.100000000000001" customHeight="1" outlineLevel="1">
      <c r="A18" s="87"/>
      <c r="B18" s="175" t="s">
        <v>96</v>
      </c>
      <c r="C18" s="175"/>
      <c r="D18" s="185">
        <f>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-943.72542573293333</v>
      </c>
      <c r="P66" s="71">
        <v>-917.54455015299459</v>
      </c>
      <c r="Q66" s="71">
        <v>-891.36367457305573</v>
      </c>
      <c r="R66" s="71">
        <v>-865.18279899311699</v>
      </c>
      <c r="S66" s="71">
        <v>-839.00192341317813</v>
      </c>
      <c r="T66" s="71">
        <v>-812.82104783323939</v>
      </c>
      <c r="U66" s="71">
        <v>-786.64017225330053</v>
      </c>
      <c r="V66" s="71">
        <v>-760.45929667336179</v>
      </c>
      <c r="W66" s="71">
        <v>-734.27842109342305</v>
      </c>
      <c r="X66" s="71">
        <v>-708.09754551348419</v>
      </c>
      <c r="Y66" s="71">
        <v>-681.91666993354545</v>
      </c>
      <c r="Z66" s="71">
        <v>-655.73579435360659</v>
      </c>
      <c r="AA66" s="71">
        <v>-629.55491877366785</v>
      </c>
      <c r="AB66" s="71">
        <v>-603.37404319372911</v>
      </c>
      <c r="AC66" s="71">
        <v>-577.19316761379025</v>
      </c>
      <c r="AD66" s="71">
        <v>-551.01229203385151</v>
      </c>
      <c r="AE66" s="71">
        <v>-524.83141645391265</v>
      </c>
      <c r="AF66" s="71">
        <v>-498.65054087397385</v>
      </c>
      <c r="AG66" s="71">
        <v>-472.46966529403511</v>
      </c>
      <c r="AH66" s="71">
        <v>-446.28878971409631</v>
      </c>
      <c r="AI66" s="71">
        <v>-420.10791413415751</v>
      </c>
      <c r="AJ66" s="71">
        <v>-393.92703855421871</v>
      </c>
      <c r="AK66" s="71">
        <v>-367.74616297427997</v>
      </c>
      <c r="AL66" s="71">
        <v>-341.56528739434123</v>
      </c>
      <c r="AM66" s="71">
        <v>-315.38441181440231</v>
      </c>
      <c r="AN66" s="71">
        <v>-289.20353623446357</v>
      </c>
      <c r="AO66" s="71">
        <v>-263.02266065452483</v>
      </c>
      <c r="AP66" s="71">
        <v>-236.84178507458594</v>
      </c>
      <c r="AQ66" s="71">
        <v>-210.66090949464717</v>
      </c>
      <c r="AR66" s="71">
        <v>-184.48003391470843</v>
      </c>
      <c r="AS66" s="71">
        <v>-158.29915833476966</v>
      </c>
      <c r="AT66" s="71">
        <v>-132.11828275483077</v>
      </c>
      <c r="AU66" s="71">
        <v>-105.93740717489203</v>
      </c>
      <c r="AV66" s="71">
        <v>-79.756531594953273</v>
      </c>
      <c r="AW66" s="71">
        <v>-53.575656015014395</v>
      </c>
      <c r="AX66" s="71">
        <v>-27.394780435075635</v>
      </c>
      <c r="AY66" s="71">
        <v>-1.2139048551368761</v>
      </c>
      <c r="AZ66" s="71">
        <v>24.966970724801882</v>
      </c>
      <c r="BA66" s="71">
        <v>51.14784630474076</v>
      </c>
      <c r="BB66" s="71">
        <v>77.32872188467951</v>
      </c>
      <c r="BC66" s="71">
        <v>103.50959746461827</v>
      </c>
      <c r="BD66" s="71">
        <v>129.69047304455714</v>
      </c>
      <c r="BE66" s="71">
        <v>155.87134862449591</v>
      </c>
      <c r="BF66" s="71">
        <v>182.05222420443465</v>
      </c>
      <c r="BG66" s="71">
        <v>208.23309978437342</v>
      </c>
      <c r="BH66" s="71">
        <v>234.41397536431219</v>
      </c>
      <c r="BI66" s="71">
        <v>260.59485094425094</v>
      </c>
      <c r="BJ66" s="71">
        <v>286.77572652418991</v>
      </c>
      <c r="BK66" s="71">
        <v>312.95660210412871</v>
      </c>
      <c r="BL66" s="71">
        <v>339.13747768406745</v>
      </c>
      <c r="BM66" s="71">
        <v>365.31835326400619</v>
      </c>
      <c r="BN66" s="71">
        <v>391.49922884394493</v>
      </c>
      <c r="BO66" s="71">
        <v>417.68010442388373</v>
      </c>
      <c r="BP66" s="71">
        <v>443.86098000382248</v>
      </c>
      <c r="BQ66" s="71">
        <v>470.04185558376145</v>
      </c>
      <c r="BR66" s="71">
        <v>496.22273116370025</v>
      </c>
      <c r="BS66" s="71">
        <v>522.40360674363899</v>
      </c>
      <c r="BT66" s="71">
        <v>548.58448232357773</v>
      </c>
      <c r="BU66" s="71">
        <v>574.76535790351647</v>
      </c>
      <c r="BV66" s="71">
        <v>600.94623348345522</v>
      </c>
      <c r="BW66" s="71">
        <v>627.12710906339407</v>
      </c>
      <c r="BX66" s="71">
        <v>653.30798464333304</v>
      </c>
      <c r="BY66" s="71">
        <v>679.48886022327179</v>
      </c>
      <c r="BZ66" s="71">
        <v>705.66973580321053</v>
      </c>
      <c r="CA66" s="71">
        <v>731.85061138314927</v>
      </c>
      <c r="CB66" s="71">
        <v>758.03148696308801</v>
      </c>
      <c r="CC66" s="71">
        <v>784.21236254302676</v>
      </c>
      <c r="CD66" s="71">
        <v>810.39323812296561</v>
      </c>
      <c r="CE66" s="71">
        <v>836.57411370290458</v>
      </c>
      <c r="CF66" s="71">
        <v>862.75498928284333</v>
      </c>
      <c r="CG66" s="71">
        <v>888.93586486278207</v>
      </c>
      <c r="CH66" s="71">
        <v>915.11674044272081</v>
      </c>
      <c r="CI66" s="71">
        <v>941.29761602265955</v>
      </c>
      <c r="CJ66" s="71">
        <v>967.4784916025983</v>
      </c>
      <c r="CK66" s="71">
        <v>993.65936718253715</v>
      </c>
      <c r="CL66" s="71">
        <v>1019.8402427624761</v>
      </c>
      <c r="CM66" s="71">
        <v>1046.0211183424149</v>
      </c>
      <c r="CN66" s="71">
        <v>1072.2019939223537</v>
      </c>
      <c r="CO66" s="71">
        <v>1098.3828695022926</v>
      </c>
      <c r="CP66" s="71">
        <v>1124.5637450822312</v>
      </c>
      <c r="CQ66" s="71">
        <v>1150.7446206621701</v>
      </c>
      <c r="CR66" s="71">
        <v>1176.9254962421087</v>
      </c>
      <c r="CS66" s="71">
        <v>1203.1063718220475</v>
      </c>
      <c r="CT66" s="71">
        <v>1229.2872474019862</v>
      </c>
      <c r="CU66" s="71">
        <v>1255.468122981925</v>
      </c>
      <c r="CV66" s="71">
        <v>1281.6489985618639</v>
      </c>
      <c r="CW66" s="71">
        <v>1307.8298741418025</v>
      </c>
      <c r="CX66" s="71">
        <v>1334.0107497217414</v>
      </c>
      <c r="CY66" s="71">
        <v>1360.19162530168</v>
      </c>
      <c r="CZ66" s="71">
        <v>1386.3725008816189</v>
      </c>
      <c r="DA66" s="71">
        <v>1412.5533764615575</v>
      </c>
      <c r="DB66" s="71">
        <v>1438.7342520414963</v>
      </c>
      <c r="DC66" s="71">
        <v>1464.9151276214352</v>
      </c>
      <c r="DD66" s="71">
        <v>1491.0960032013743</v>
      </c>
      <c r="DE66" s="71">
        <v>1517.2768787813131</v>
      </c>
      <c r="DF66" s="71">
        <v>1543.4577543612518</v>
      </c>
      <c r="DG66" s="71">
        <v>1569.6386299411906</v>
      </c>
      <c r="DH66" s="71">
        <v>1595.8195055211293</v>
      </c>
      <c r="DI66" s="71">
        <v>1622.0003811010681</v>
      </c>
      <c r="DJ66" s="71">
        <v>1648.1812566810072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906.76359539825989</v>
      </c>
      <c r="P67" s="71">
        <v>906.76359539825989</v>
      </c>
      <c r="Q67" s="71">
        <v>906.76545605269928</v>
      </c>
      <c r="R67" s="71">
        <v>906.80173148456674</v>
      </c>
      <c r="S67" s="71">
        <v>906.88430575068696</v>
      </c>
      <c r="T67" s="71">
        <v>907.01317885105982</v>
      </c>
      <c r="U67" s="71">
        <v>907.18835078568566</v>
      </c>
      <c r="V67" s="71">
        <v>907.40982155456413</v>
      </c>
      <c r="W67" s="71">
        <v>907.67759115769547</v>
      </c>
      <c r="X67" s="71">
        <v>907.99165959507945</v>
      </c>
      <c r="Y67" s="71">
        <v>908.3520268667163</v>
      </c>
      <c r="Z67" s="71">
        <v>908.7586929726059</v>
      </c>
      <c r="AA67" s="71">
        <v>909.21165791274825</v>
      </c>
      <c r="AB67" s="71">
        <v>909.71092168714335</v>
      </c>
      <c r="AC67" s="71">
        <v>910.25648429579121</v>
      </c>
      <c r="AD67" s="71">
        <v>910.84834573869193</v>
      </c>
      <c r="AE67" s="71">
        <v>911.48650601584529</v>
      </c>
      <c r="AF67" s="71">
        <v>912.17096512725152</v>
      </c>
      <c r="AG67" s="71">
        <v>912.9017230729105</v>
      </c>
      <c r="AH67" s="71">
        <v>913.67877985282223</v>
      </c>
      <c r="AI67" s="71">
        <v>914.50213546698672</v>
      </c>
      <c r="AJ67" s="71">
        <v>915.37178991540395</v>
      </c>
      <c r="AK67" s="71">
        <v>916.28774319807405</v>
      </c>
      <c r="AL67" s="71">
        <v>917.2499953149968</v>
      </c>
      <c r="AM67" s="71">
        <v>918.25854626617229</v>
      </c>
      <c r="AN67" s="71">
        <v>919.31339605160065</v>
      </c>
      <c r="AO67" s="71">
        <v>920.41454467128187</v>
      </c>
      <c r="AP67" s="71">
        <v>921.56199212521562</v>
      </c>
      <c r="AQ67" s="71">
        <v>922.75573841340224</v>
      </c>
      <c r="AR67" s="71">
        <v>923.99578353584161</v>
      </c>
      <c r="AS67" s="71">
        <v>925.28212749253373</v>
      </c>
      <c r="AT67" s="71">
        <v>926.61477028347883</v>
      </c>
      <c r="AU67" s="71">
        <v>927.99371190867646</v>
      </c>
      <c r="AV67" s="71">
        <v>929.45850112674987</v>
      </c>
      <c r="AW67" s="71">
        <v>931.0494001143652</v>
      </c>
      <c r="AX67" s="71">
        <v>932.76640967404558</v>
      </c>
      <c r="AY67" s="71">
        <v>934.60952980579134</v>
      </c>
      <c r="AZ67" s="71">
        <v>936.57876050960226</v>
      </c>
      <c r="BA67" s="71">
        <v>938.67410178547857</v>
      </c>
      <c r="BB67" s="71">
        <v>940.89555363341992</v>
      </c>
      <c r="BC67" s="71">
        <v>943.24311605342655</v>
      </c>
      <c r="BD67" s="71">
        <v>945.71678904549844</v>
      </c>
      <c r="BE67" s="71">
        <v>948.3165726096355</v>
      </c>
      <c r="BF67" s="71">
        <v>951.04246674583783</v>
      </c>
      <c r="BG67" s="71">
        <v>953.89447145410531</v>
      </c>
      <c r="BH67" s="71">
        <v>956.87258673443819</v>
      </c>
      <c r="BI67" s="71">
        <v>959.97681258683622</v>
      </c>
      <c r="BJ67" s="71">
        <v>963.20714901129952</v>
      </c>
      <c r="BK67" s="71">
        <v>966.56359600782787</v>
      </c>
      <c r="BL67" s="71">
        <v>970.04615357642172</v>
      </c>
      <c r="BM67" s="71">
        <v>973.65482171708049</v>
      </c>
      <c r="BN67" s="71">
        <v>977.38960042980477</v>
      </c>
      <c r="BO67" s="71">
        <v>981.2504897145941</v>
      </c>
      <c r="BP67" s="71">
        <v>985.2374895714488</v>
      </c>
      <c r="BQ67" s="71">
        <v>989.35060000036867</v>
      </c>
      <c r="BR67" s="71">
        <v>993.5898210013537</v>
      </c>
      <c r="BS67" s="71">
        <v>997.955152574404</v>
      </c>
      <c r="BT67" s="71">
        <v>1002.4465947195196</v>
      </c>
      <c r="BU67" s="71">
        <v>1007.0641474367003</v>
      </c>
      <c r="BV67" s="71">
        <v>1011.8078107259463</v>
      </c>
      <c r="BW67" s="71">
        <v>1016.6775845872576</v>
      </c>
      <c r="BX67" s="71">
        <v>1021.6734690206341</v>
      </c>
      <c r="BY67" s="71">
        <v>1026.7954640260757</v>
      </c>
      <c r="BZ67" s="71">
        <v>1032.0435696035827</v>
      </c>
      <c r="CA67" s="71">
        <v>1037.4177857531547</v>
      </c>
      <c r="CB67" s="71">
        <v>1042.9181124747922</v>
      </c>
      <c r="CC67" s="71">
        <v>1048.5445497684948</v>
      </c>
      <c r="CD67" s="71">
        <v>1054.2970976342626</v>
      </c>
      <c r="CE67" s="71">
        <v>1060.1757560720957</v>
      </c>
      <c r="CF67" s="71">
        <v>1066.1805250819941</v>
      </c>
      <c r="CG67" s="71">
        <v>1072.3114046639575</v>
      </c>
      <c r="CH67" s="71">
        <v>1078.5683948179862</v>
      </c>
      <c r="CI67" s="71">
        <v>1084.9514955440804</v>
      </c>
      <c r="CJ67" s="71">
        <v>1091.4607068422395</v>
      </c>
      <c r="CK67" s="71">
        <v>1098.096028712464</v>
      </c>
      <c r="CL67" s="71">
        <v>1104.8574611547538</v>
      </c>
      <c r="CM67" s="71">
        <v>1111.7450041691086</v>
      </c>
      <c r="CN67" s="71">
        <v>1118.7586577555287</v>
      </c>
      <c r="CO67" s="71">
        <v>1125.8984219140141</v>
      </c>
      <c r="CP67" s="71">
        <v>1133.1642966445647</v>
      </c>
      <c r="CQ67" s="71">
        <v>1140.5562819471807</v>
      </c>
      <c r="CR67" s="71">
        <v>1148.0743778218616</v>
      </c>
      <c r="CS67" s="71">
        <v>1155.7185842686079</v>
      </c>
      <c r="CT67" s="71">
        <v>1163.4889012874194</v>
      </c>
      <c r="CU67" s="71">
        <v>1171.3853288782961</v>
      </c>
      <c r="CV67" s="71">
        <v>1179.4078670412382</v>
      </c>
      <c r="CW67" s="71">
        <v>1187.5565157762453</v>
      </c>
      <c r="CX67" s="71">
        <v>1195.8312750833177</v>
      </c>
      <c r="CY67" s="71">
        <v>1204.2321449624553</v>
      </c>
      <c r="CZ67" s="71">
        <v>1212.7591254136582</v>
      </c>
      <c r="DA67" s="71">
        <v>1221.4122164369264</v>
      </c>
      <c r="DB67" s="71">
        <v>1230.1914180322597</v>
      </c>
      <c r="DC67" s="71">
        <v>1239.0967301996584</v>
      </c>
      <c r="DD67" s="71">
        <v>1248.1281529391222</v>
      </c>
      <c r="DE67" s="71">
        <v>1257.2856862506512</v>
      </c>
      <c r="DF67" s="71">
        <v>1266.5693301342455</v>
      </c>
      <c r="DG67" s="71">
        <v>1275.9790845899051</v>
      </c>
      <c r="DH67" s="71">
        <v>1285.5149496176298</v>
      </c>
      <c r="DI67" s="71">
        <v>1295.1769252174199</v>
      </c>
      <c r="DJ67" s="71">
        <v>1304.9650113892751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-61.316915162514299</v>
      </c>
      <c r="P68" s="71">
        <v>-61.316915162514299</v>
      </c>
      <c r="Q68" s="71">
        <v>-61.312538839388019</v>
      </c>
      <c r="R68" s="71">
        <v>-61.227217778133529</v>
      </c>
      <c r="S68" s="71">
        <v>-61.033000269064836</v>
      </c>
      <c r="T68" s="71">
        <v>-60.729886312181918</v>
      </c>
      <c r="U68" s="71">
        <v>-60.317875907484783</v>
      </c>
      <c r="V68" s="71">
        <v>-59.796969054973445</v>
      </c>
      <c r="W68" s="71">
        <v>-59.167165754647876</v>
      </c>
      <c r="X68" s="71">
        <v>-58.428466006508096</v>
      </c>
      <c r="Y68" s="71">
        <v>-57.580869810554105</v>
      </c>
      <c r="Z68" s="71">
        <v>-56.624377166785905</v>
      </c>
      <c r="AA68" s="71">
        <v>-55.55898807520348</v>
      </c>
      <c r="AB68" s="71">
        <v>-54.384702535806838</v>
      </c>
      <c r="AC68" s="71">
        <v>-53.101520548595985</v>
      </c>
      <c r="AD68" s="71">
        <v>-51.709442113570915</v>
      </c>
      <c r="AE68" s="71">
        <v>-50.208467230731621</v>
      </c>
      <c r="AF68" s="71">
        <v>-48.598595900078124</v>
      </c>
      <c r="AG68" s="71">
        <v>-46.879828121610416</v>
      </c>
      <c r="AH68" s="71">
        <v>-45.052163895328484</v>
      </c>
      <c r="AI68" s="71">
        <v>-43.115603221232334</v>
      </c>
      <c r="AJ68" s="71">
        <v>-41.070146099321967</v>
      </c>
      <c r="AK68" s="71">
        <v>-38.91579252959739</v>
      </c>
      <c r="AL68" s="71">
        <v>-36.652542512058602</v>
      </c>
      <c r="AM68" s="71">
        <v>-34.280396046705583</v>
      </c>
      <c r="AN68" s="71">
        <v>-31.799353133538368</v>
      </c>
      <c r="AO68" s="71">
        <v>-29.209413772556928</v>
      </c>
      <c r="AP68" s="71">
        <v>-26.510577963761268</v>
      </c>
      <c r="AQ68" s="71">
        <v>-23.702845707151393</v>
      </c>
      <c r="AR68" s="71">
        <v>-20.786217002727312</v>
      </c>
      <c r="AS68" s="71">
        <v>-17.760691850489017</v>
      </c>
      <c r="AT68" s="71">
        <v>-14.626270250436487</v>
      </c>
      <c r="AU68" s="71">
        <v>-11.382952202569761</v>
      </c>
      <c r="AV68" s="71">
        <v>-7.9933796403195227</v>
      </c>
      <c r="AW68" s="71">
        <v>-4.4195205968557989</v>
      </c>
      <c r="AX68" s="71">
        <v>-0.66137431410873093</v>
      </c>
      <c r="AY68" s="71">
        <v>3.2810592079217007</v>
      </c>
      <c r="AZ68" s="71">
        <v>7.4077799692354951</v>
      </c>
      <c r="BA68" s="71">
        <v>11.718787969832674</v>
      </c>
      <c r="BB68" s="71">
        <v>16.214083209713191</v>
      </c>
      <c r="BC68" s="71">
        <v>20.893665688877075</v>
      </c>
      <c r="BD68" s="71">
        <v>25.757535407324344</v>
      </c>
      <c r="BE68" s="71">
        <v>30.805692365054956</v>
      </c>
      <c r="BF68" s="71">
        <v>36.038136562068928</v>
      </c>
      <c r="BG68" s="71">
        <v>41.454867998366261</v>
      </c>
      <c r="BH68" s="71">
        <v>47.055886673946958</v>
      </c>
      <c r="BI68" s="71">
        <v>52.841192588811012</v>
      </c>
      <c r="BJ68" s="71">
        <v>58.810785742958494</v>
      </c>
      <c r="BK68" s="71">
        <v>64.964666136389283</v>
      </c>
      <c r="BL68" s="71">
        <v>71.30283376910343</v>
      </c>
      <c r="BM68" s="71">
        <v>77.82528864110094</v>
      </c>
      <c r="BN68" s="71">
        <v>84.532030752381814</v>
      </c>
      <c r="BO68" s="71">
        <v>91.423060102946053</v>
      </c>
      <c r="BP68" s="71">
        <v>98.498376692793656</v>
      </c>
      <c r="BQ68" s="71">
        <v>105.75798052192469</v>
      </c>
      <c r="BR68" s="71">
        <v>113.20187159033901</v>
      </c>
      <c r="BS68" s="71">
        <v>120.83004989803671</v>
      </c>
      <c r="BT68" s="71">
        <v>128.64251544501775</v>
      </c>
      <c r="BU68" s="71">
        <v>136.63926823128216</v>
      </c>
      <c r="BV68" s="71">
        <v>144.82030825682995</v>
      </c>
      <c r="BW68" s="71">
        <v>153.18563552166108</v>
      </c>
      <c r="BX68" s="71">
        <v>161.73525002577566</v>
      </c>
      <c r="BY68" s="71">
        <v>170.46915176917352</v>
      </c>
      <c r="BZ68" s="71">
        <v>179.38734075185477</v>
      </c>
      <c r="CA68" s="71">
        <v>188.48981697381933</v>
      </c>
      <c r="CB68" s="71">
        <v>197.7765804350673</v>
      </c>
      <c r="CC68" s="71">
        <v>207.2476311355986</v>
      </c>
      <c r="CD68" s="71">
        <v>216.9029690754133</v>
      </c>
      <c r="CE68" s="71">
        <v>226.74259425451143</v>
      </c>
      <c r="CF68" s="71">
        <v>236.76650667289286</v>
      </c>
      <c r="CG68" s="71">
        <v>246.97470633055761</v>
      </c>
      <c r="CH68" s="71">
        <v>257.36719322750577</v>
      </c>
      <c r="CI68" s="71">
        <v>267.94396736373722</v>
      </c>
      <c r="CJ68" s="71">
        <v>278.7050287392521</v>
      </c>
      <c r="CK68" s="71">
        <v>289.65037735405036</v>
      </c>
      <c r="CL68" s="71">
        <v>300.780013208132</v>
      </c>
      <c r="CM68" s="71">
        <v>312.09393630149697</v>
      </c>
      <c r="CN68" s="71">
        <v>323.59214663414531</v>
      </c>
      <c r="CO68" s="71">
        <v>335.27464420607703</v>
      </c>
      <c r="CP68" s="71">
        <v>347.14142901729207</v>
      </c>
      <c r="CQ68" s="71">
        <v>359.19250106779043</v>
      </c>
      <c r="CR68" s="71">
        <v>371.42786035757217</v>
      </c>
      <c r="CS68" s="71">
        <v>383.84750688663729</v>
      </c>
      <c r="CT68" s="71">
        <v>396.45144065498584</v>
      </c>
      <c r="CU68" s="71">
        <v>409.23966166261766</v>
      </c>
      <c r="CV68" s="71">
        <v>422.21216990953286</v>
      </c>
      <c r="CW68" s="71">
        <v>435.36896539573149</v>
      </c>
      <c r="CX68" s="71">
        <v>448.71004812121339</v>
      </c>
      <c r="CY68" s="71">
        <v>462.23541808597867</v>
      </c>
      <c r="CZ68" s="71">
        <v>475.94507529002732</v>
      </c>
      <c r="DA68" s="71">
        <v>489.83901973335941</v>
      </c>
      <c r="DB68" s="71">
        <v>503.91725141597476</v>
      </c>
      <c r="DC68" s="71">
        <v>518.17977033787349</v>
      </c>
      <c r="DD68" s="71">
        <v>532.62657649905589</v>
      </c>
      <c r="DE68" s="71">
        <v>547.25766989952137</v>
      </c>
      <c r="DF68" s="71">
        <v>562.07305053927018</v>
      </c>
      <c r="DG68" s="71">
        <v>577.07271841830243</v>
      </c>
      <c r="DH68" s="71">
        <v>592.256673536618</v>
      </c>
      <c r="DI68" s="71">
        <v>607.624915894217</v>
      </c>
      <c r="DJ68" s="71">
        <v>623.17744549109932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1569.6964349342925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119.24082943205499</v>
      </c>
      <c r="K85" s="79">
        <v>944.71434297648796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-898.78611974565081</v>
      </c>
      <c r="K86" s="79">
        <v>906.76359539825989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934698.04726550973</v>
      </c>
      <c r="J89" s="80">
        <v>7.3031273006101224E-2</v>
      </c>
      <c r="K89" s="80">
        <v>9.199265781917023E-8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934046.11278338148</v>
      </c>
      <c r="J90" s="80">
        <v>6.0709698972303522E-2</v>
      </c>
      <c r="K90" s="80">
        <v>3.3773162289980558E-8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906763.59539825993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-11.368162395877647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1569.6964349342925</v>
      </c>
      <c r="K114" s="79">
        <v>577.10604021523909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119.24082943205499</v>
      </c>
      <c r="K115" s="79">
        <v>23.794107527926833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-898.78611974565081</v>
      </c>
      <c r="K116" s="79">
        <v>-61.316915162514299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3.4683248698097624</v>
      </c>
      <c r="J119" s="80">
        <v>1.5443035158249326E-4</v>
      </c>
      <c r="K119" s="80">
        <v>1.3443022790401039E-10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2.8525024614671892</v>
      </c>
      <c r="J120" s="80">
        <v>1.4279129642576349E-4</v>
      </c>
      <c r="K120" s="80">
        <v>7.9435637293871585E-11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-61.316915162514299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4649.317966345111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1.0279381847590947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-442.08112752188362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-792.96611974565076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7.4265890775693288E-2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59.999999999999993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5.3561946905252039E-2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0.12597953814888851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-46.145330066059394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-11.368162395877647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3.4447281665308115E-3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-46.101722685539585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-11.356255749198787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2.4562735527548556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</v>
      </c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5" t="s">
        <v>101</v>
      </c>
      <c r="C13" s="175"/>
      <c r="D13" s="174" t="str">
        <f>Gap30deg!D13</f>
        <v>SP2200052</v>
      </c>
      <c r="E13" s="174"/>
      <c r="F13" s="174"/>
      <c r="G13" s="174"/>
      <c r="H13" s="174"/>
      <c r="I13" s="174"/>
      <c r="J13" s="174"/>
      <c r="K13" s="174"/>
      <c r="L13" s="86"/>
    </row>
    <row r="14" spans="1:15" s="85" customFormat="1" ht="20.100000000000001" customHeight="1" outlineLevel="1">
      <c r="A14" s="87"/>
      <c r="B14" s="175" t="s">
        <v>100</v>
      </c>
      <c r="C14" s="175"/>
      <c r="D14" s="174" t="str">
        <f>Gap30deg!D14</f>
        <v>Stichting GROW</v>
      </c>
      <c r="E14" s="174"/>
      <c r="F14" s="174"/>
      <c r="G14" s="174"/>
      <c r="H14" s="174"/>
      <c r="I14" s="174"/>
      <c r="J14" s="174"/>
      <c r="K14" s="174"/>
      <c r="L14" s="86"/>
    </row>
    <row r="15" spans="1:15" s="85" customFormat="1" ht="20.100000000000001" customHeight="1" outlineLevel="1">
      <c r="A15" s="87"/>
      <c r="B15" s="175" t="s">
        <v>99</v>
      </c>
      <c r="C15" s="175"/>
      <c r="D15" s="174" t="str">
        <f>Gap30deg!D15</f>
        <v>Bolt and Beautiful</v>
      </c>
      <c r="E15" s="174"/>
      <c r="F15" s="174"/>
      <c r="G15" s="174"/>
      <c r="H15" s="174"/>
      <c r="I15" s="174"/>
      <c r="J15" s="174"/>
      <c r="K15" s="174"/>
      <c r="L15" s="86"/>
    </row>
    <row r="16" spans="1:15" s="85" customFormat="1" ht="20.100000000000001" customHeight="1" outlineLevel="1">
      <c r="A16" s="87"/>
      <c r="B16" s="175" t="s">
        <v>98</v>
      </c>
      <c r="C16" s="175"/>
      <c r="D16" s="174" t="str">
        <f>Title</f>
        <v>Flange Segment Analytical Model for 90° gap size</v>
      </c>
      <c r="E16" s="174"/>
      <c r="F16" s="174"/>
      <c r="G16" s="174"/>
      <c r="H16" s="174"/>
      <c r="I16" s="174"/>
      <c r="J16" s="174"/>
      <c r="K16" s="174"/>
      <c r="L16" s="86"/>
      <c r="M16" s="88"/>
    </row>
    <row r="17" spans="1:22" s="85" customFormat="1" ht="20.100000000000001" customHeight="1" outlineLevel="1">
      <c r="A17" s="87"/>
      <c r="B17" s="175" t="s">
        <v>97</v>
      </c>
      <c r="C17" s="175"/>
      <c r="D17" s="174" t="str">
        <f>Gap30deg!D17</f>
        <v>0.10</v>
      </c>
      <c r="E17" s="174"/>
      <c r="F17" s="174"/>
      <c r="G17" s="174"/>
      <c r="H17" s="174"/>
      <c r="I17" s="174"/>
      <c r="J17" s="174"/>
      <c r="K17" s="174"/>
      <c r="L17" s="86"/>
    </row>
    <row r="18" spans="1:22" s="85" customFormat="1" ht="20.100000000000001" customHeight="1" outlineLevel="1">
      <c r="A18" s="87"/>
      <c r="B18" s="175" t="s">
        <v>96</v>
      </c>
      <c r="C18" s="175"/>
      <c r="D18" s="185">
        <f>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-1011.3611434154867</v>
      </c>
      <c r="P66" s="71">
        <v>-985.33023727144496</v>
      </c>
      <c r="Q66" s="71">
        <v>-959.29933112740332</v>
      </c>
      <c r="R66" s="71">
        <v>-933.26842498336157</v>
      </c>
      <c r="S66" s="71">
        <v>-907.23751883931993</v>
      </c>
      <c r="T66" s="71">
        <v>-881.2066126952783</v>
      </c>
      <c r="U66" s="71">
        <v>-855.17570655123654</v>
      </c>
      <c r="V66" s="71">
        <v>-829.14480040719479</v>
      </c>
      <c r="W66" s="71">
        <v>-803.11389426315316</v>
      </c>
      <c r="X66" s="71">
        <v>-777.08298811911141</v>
      </c>
      <c r="Y66" s="71">
        <v>-751.05208197506988</v>
      </c>
      <c r="Z66" s="71">
        <v>-725.02117583102802</v>
      </c>
      <c r="AA66" s="71">
        <v>-698.99026968698638</v>
      </c>
      <c r="AB66" s="71">
        <v>-672.95936354294463</v>
      </c>
      <c r="AC66" s="71">
        <v>-646.92845739890299</v>
      </c>
      <c r="AD66" s="71">
        <v>-620.89755125486124</v>
      </c>
      <c r="AE66" s="71">
        <v>-594.8666451108196</v>
      </c>
      <c r="AF66" s="71">
        <v>-568.83573896677797</v>
      </c>
      <c r="AG66" s="71">
        <v>-542.80483282273622</v>
      </c>
      <c r="AH66" s="71">
        <v>-516.77392667869458</v>
      </c>
      <c r="AI66" s="71">
        <v>-490.74302053465289</v>
      </c>
      <c r="AJ66" s="71">
        <v>-464.71211439061119</v>
      </c>
      <c r="AK66" s="71">
        <v>-438.6812082465695</v>
      </c>
      <c r="AL66" s="71">
        <v>-412.6503021025278</v>
      </c>
      <c r="AM66" s="71">
        <v>-386.619395958486</v>
      </c>
      <c r="AN66" s="71">
        <v>-360.5884898144443</v>
      </c>
      <c r="AO66" s="71">
        <v>-334.55758367040266</v>
      </c>
      <c r="AP66" s="71">
        <v>-308.52667752636097</v>
      </c>
      <c r="AQ66" s="71">
        <v>-282.49577138231928</v>
      </c>
      <c r="AR66" s="71">
        <v>-256.46486523827758</v>
      </c>
      <c r="AS66" s="71">
        <v>-230.43395909423592</v>
      </c>
      <c r="AT66" s="71">
        <v>-204.40305295019422</v>
      </c>
      <c r="AU66" s="71">
        <v>-178.37214680615253</v>
      </c>
      <c r="AV66" s="71">
        <v>-152.34124066211086</v>
      </c>
      <c r="AW66" s="71">
        <v>-126.31033451806917</v>
      </c>
      <c r="AX66" s="71">
        <v>-100.27942837402749</v>
      </c>
      <c r="AY66" s="71">
        <v>-74.248522229985795</v>
      </c>
      <c r="AZ66" s="71">
        <v>-48.217616085944115</v>
      </c>
      <c r="BA66" s="71">
        <v>-22.186709941902432</v>
      </c>
      <c r="BB66" s="71">
        <v>3.8441962021392539</v>
      </c>
      <c r="BC66" s="71">
        <v>29.875102346180938</v>
      </c>
      <c r="BD66" s="71">
        <v>55.906008490222739</v>
      </c>
      <c r="BE66" s="71">
        <v>81.936914634264312</v>
      </c>
      <c r="BF66" s="71">
        <v>107.96782077830611</v>
      </c>
      <c r="BG66" s="71">
        <v>133.99872692234769</v>
      </c>
      <c r="BH66" s="71">
        <v>160.02963306638947</v>
      </c>
      <c r="BI66" s="71">
        <v>186.06053921043105</v>
      </c>
      <c r="BJ66" s="71">
        <v>212.09144535447285</v>
      </c>
      <c r="BK66" s="71">
        <v>238.12235149851466</v>
      </c>
      <c r="BL66" s="71">
        <v>264.15325764255624</v>
      </c>
      <c r="BM66" s="71">
        <v>290.18416378659799</v>
      </c>
      <c r="BN66" s="71">
        <v>316.21506993063957</v>
      </c>
      <c r="BO66" s="71">
        <v>342.24597607468138</v>
      </c>
      <c r="BP66" s="71">
        <v>368.27688221872296</v>
      </c>
      <c r="BQ66" s="71">
        <v>394.30778836276477</v>
      </c>
      <c r="BR66" s="71">
        <v>420.33869450680635</v>
      </c>
      <c r="BS66" s="71">
        <v>446.3696006508481</v>
      </c>
      <c r="BT66" s="71">
        <v>472.40050679488968</v>
      </c>
      <c r="BU66" s="71">
        <v>498.43141293893149</v>
      </c>
      <c r="BV66" s="71">
        <v>524.46231908297307</v>
      </c>
      <c r="BW66" s="71">
        <v>550.49322522701482</v>
      </c>
      <c r="BX66" s="71">
        <v>576.52413137105646</v>
      </c>
      <c r="BY66" s="71">
        <v>602.55503751509821</v>
      </c>
      <c r="BZ66" s="71">
        <v>628.58594365913984</v>
      </c>
      <c r="CA66" s="71">
        <v>654.61684980318159</v>
      </c>
      <c r="CB66" s="71">
        <v>680.64775594722335</v>
      </c>
      <c r="CC66" s="71">
        <v>706.67866209126498</v>
      </c>
      <c r="CD66" s="71">
        <v>732.70956823530673</v>
      </c>
      <c r="CE66" s="71">
        <v>758.74047437934837</v>
      </c>
      <c r="CF66" s="71">
        <v>784.77138052339012</v>
      </c>
      <c r="CG66" s="71">
        <v>810.80228666743176</v>
      </c>
      <c r="CH66" s="71">
        <v>836.83319281147351</v>
      </c>
      <c r="CI66" s="71">
        <v>862.86409895551503</v>
      </c>
      <c r="CJ66" s="71">
        <v>888.8950050995569</v>
      </c>
      <c r="CK66" s="71">
        <v>914.92591124359842</v>
      </c>
      <c r="CL66" s="71">
        <v>940.95681738764029</v>
      </c>
      <c r="CM66" s="71">
        <v>966.98772353168181</v>
      </c>
      <c r="CN66" s="71">
        <v>993.01862967572356</v>
      </c>
      <c r="CO66" s="71">
        <v>1019.0495358197652</v>
      </c>
      <c r="CP66" s="71">
        <v>1045.0804419638071</v>
      </c>
      <c r="CQ66" s="71">
        <v>1071.1113481078485</v>
      </c>
      <c r="CR66" s="71">
        <v>1097.1422542518906</v>
      </c>
      <c r="CS66" s="71">
        <v>1123.1731603959322</v>
      </c>
      <c r="CT66" s="71">
        <v>1149.2040665399736</v>
      </c>
      <c r="CU66" s="71">
        <v>1175.2349726840152</v>
      </c>
      <c r="CV66" s="71">
        <v>1201.2658788280573</v>
      </c>
      <c r="CW66" s="71">
        <v>1227.296784972099</v>
      </c>
      <c r="CX66" s="71">
        <v>1253.3276911161404</v>
      </c>
      <c r="CY66" s="71">
        <v>1279.358597260182</v>
      </c>
      <c r="CZ66" s="71">
        <v>1305.3895034042241</v>
      </c>
      <c r="DA66" s="71">
        <v>1331.4204095482655</v>
      </c>
      <c r="DB66" s="71">
        <v>1357.4513156923072</v>
      </c>
      <c r="DC66" s="71">
        <v>1383.4822218363488</v>
      </c>
      <c r="DD66" s="71">
        <v>1409.5131279803909</v>
      </c>
      <c r="DE66" s="71">
        <v>1435.5440341244323</v>
      </c>
      <c r="DF66" s="71">
        <v>1461.5749402684739</v>
      </c>
      <c r="DG66" s="71">
        <v>1487.605846412516</v>
      </c>
      <c r="DH66" s="71">
        <v>1513.6367525565574</v>
      </c>
      <c r="DI66" s="71">
        <v>1539.6676587005991</v>
      </c>
      <c r="DJ66" s="71">
        <v>1565.6985648446409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903.2057757779512</v>
      </c>
      <c r="P67" s="71">
        <v>903.2057757779512</v>
      </c>
      <c r="Q67" s="71">
        <v>903.20628925773235</v>
      </c>
      <c r="R67" s="71">
        <v>903.23599570870738</v>
      </c>
      <c r="S67" s="71">
        <v>903.31141216715594</v>
      </c>
      <c r="T67" s="71">
        <v>903.4325386330778</v>
      </c>
      <c r="U67" s="71">
        <v>903.59937510647308</v>
      </c>
      <c r="V67" s="71">
        <v>903.81192158734177</v>
      </c>
      <c r="W67" s="71">
        <v>904.07017807568388</v>
      </c>
      <c r="X67" s="71">
        <v>904.37414457149941</v>
      </c>
      <c r="Y67" s="71">
        <v>904.72382107478836</v>
      </c>
      <c r="Z67" s="71">
        <v>905.11920758555073</v>
      </c>
      <c r="AA67" s="71">
        <v>905.56030410378651</v>
      </c>
      <c r="AB67" s="71">
        <v>906.04711062949559</v>
      </c>
      <c r="AC67" s="71">
        <v>906.57962716267821</v>
      </c>
      <c r="AD67" s="71">
        <v>907.15785370333413</v>
      </c>
      <c r="AE67" s="71">
        <v>907.78179025146358</v>
      </c>
      <c r="AF67" s="71">
        <v>908.45143680706622</v>
      </c>
      <c r="AG67" s="71">
        <v>909.1667933701425</v>
      </c>
      <c r="AH67" s="71">
        <v>909.92785994069197</v>
      </c>
      <c r="AI67" s="71">
        <v>910.73463651871498</v>
      </c>
      <c r="AJ67" s="71">
        <v>911.5871231042114</v>
      </c>
      <c r="AK67" s="71">
        <v>912.48531969718124</v>
      </c>
      <c r="AL67" s="71">
        <v>913.42922629762438</v>
      </c>
      <c r="AM67" s="71">
        <v>914.41884290554094</v>
      </c>
      <c r="AN67" s="71">
        <v>915.45416952093092</v>
      </c>
      <c r="AO67" s="71">
        <v>916.53520614379443</v>
      </c>
      <c r="AP67" s="71">
        <v>917.66195277413124</v>
      </c>
      <c r="AQ67" s="71">
        <v>918.83440941194146</v>
      </c>
      <c r="AR67" s="71">
        <v>920.05257605722511</v>
      </c>
      <c r="AS67" s="71">
        <v>921.31645270998217</v>
      </c>
      <c r="AT67" s="71">
        <v>922.62603937021254</v>
      </c>
      <c r="AU67" s="71">
        <v>923.98133603791644</v>
      </c>
      <c r="AV67" s="71">
        <v>925.38234271309375</v>
      </c>
      <c r="AW67" s="71">
        <v>926.82905939574437</v>
      </c>
      <c r="AX67" s="71">
        <v>928.32352778599488</v>
      </c>
      <c r="AY67" s="71">
        <v>929.925916540054</v>
      </c>
      <c r="AZ67" s="71">
        <v>931.66414986858229</v>
      </c>
      <c r="BA67" s="71">
        <v>933.5382277715795</v>
      </c>
      <c r="BB67" s="71">
        <v>935.54815024904576</v>
      </c>
      <c r="BC67" s="71">
        <v>937.69391730098118</v>
      </c>
      <c r="BD67" s="71">
        <v>939.97552892738577</v>
      </c>
      <c r="BE67" s="71">
        <v>942.3929851282594</v>
      </c>
      <c r="BF67" s="71">
        <v>944.94628590360207</v>
      </c>
      <c r="BG67" s="71">
        <v>947.6354312534138</v>
      </c>
      <c r="BH67" s="71">
        <v>950.46042117769457</v>
      </c>
      <c r="BI67" s="71">
        <v>953.4212556764445</v>
      </c>
      <c r="BJ67" s="71">
        <v>956.51793474966348</v>
      </c>
      <c r="BK67" s="71">
        <v>959.75045839735151</v>
      </c>
      <c r="BL67" s="71">
        <v>963.11882661950858</v>
      </c>
      <c r="BM67" s="71">
        <v>966.62303941613482</v>
      </c>
      <c r="BN67" s="71">
        <v>970.2630967872301</v>
      </c>
      <c r="BO67" s="71">
        <v>974.03899873279443</v>
      </c>
      <c r="BP67" s="71">
        <v>977.95074525282791</v>
      </c>
      <c r="BQ67" s="71">
        <v>981.99833634733034</v>
      </c>
      <c r="BR67" s="71">
        <v>986.18177201630203</v>
      </c>
      <c r="BS67" s="71">
        <v>990.50105225974266</v>
      </c>
      <c r="BT67" s="71">
        <v>994.95617707765246</v>
      </c>
      <c r="BU67" s="71">
        <v>999.54714647003118</v>
      </c>
      <c r="BV67" s="71">
        <v>1004.2739604368791</v>
      </c>
      <c r="BW67" s="71">
        <v>1009.1366189781962</v>
      </c>
      <c r="BX67" s="71">
        <v>1014.1351220939822</v>
      </c>
      <c r="BY67" s="71">
        <v>1019.2694697842373</v>
      </c>
      <c r="BZ67" s="71">
        <v>1024.5396620489614</v>
      </c>
      <c r="CA67" s="71">
        <v>1029.9456988881548</v>
      </c>
      <c r="CB67" s="71">
        <v>1035.4875803018172</v>
      </c>
      <c r="CC67" s="71">
        <v>1041.1653062899486</v>
      </c>
      <c r="CD67" s="71">
        <v>1046.9788768525491</v>
      </c>
      <c r="CE67" s="71">
        <v>1052.9282919896186</v>
      </c>
      <c r="CF67" s="71">
        <v>1059.0135517011574</v>
      </c>
      <c r="CG67" s="71">
        <v>1065.2346559871651</v>
      </c>
      <c r="CH67" s="71">
        <v>1071.5916048476422</v>
      </c>
      <c r="CI67" s="71">
        <v>1078.0843982825879</v>
      </c>
      <c r="CJ67" s="71">
        <v>1084.7130362920029</v>
      </c>
      <c r="CK67" s="71">
        <v>1091.477518875887</v>
      </c>
      <c r="CL67" s="71">
        <v>1098.3778460342403</v>
      </c>
      <c r="CM67" s="71">
        <v>1105.4140177670624</v>
      </c>
      <c r="CN67" s="71">
        <v>1112.5860340743538</v>
      </c>
      <c r="CO67" s="71">
        <v>1119.8938949561141</v>
      </c>
      <c r="CP67" s="71">
        <v>1127.3376004123436</v>
      </c>
      <c r="CQ67" s="71">
        <v>1134.9171504430419</v>
      </c>
      <c r="CR67" s="71">
        <v>1142.6325450482097</v>
      </c>
      <c r="CS67" s="71">
        <v>1150.4837842278464</v>
      </c>
      <c r="CT67" s="71">
        <v>1158.4708679819521</v>
      </c>
      <c r="CU67" s="71">
        <v>1166.5937963105271</v>
      </c>
      <c r="CV67" s="71">
        <v>1174.8525692135711</v>
      </c>
      <c r="CW67" s="71">
        <v>1183.2471866910839</v>
      </c>
      <c r="CX67" s="71">
        <v>1191.777648743066</v>
      </c>
      <c r="CY67" s="71">
        <v>1200.443955369517</v>
      </c>
      <c r="CZ67" s="71">
        <v>1209.2461065704376</v>
      </c>
      <c r="DA67" s="71">
        <v>1218.1841023458267</v>
      </c>
      <c r="DB67" s="71">
        <v>1227.257942695685</v>
      </c>
      <c r="DC67" s="71">
        <v>1236.4676276200125</v>
      </c>
      <c r="DD67" s="71">
        <v>1245.8131571188092</v>
      </c>
      <c r="DE67" s="71">
        <v>1255.2945311920748</v>
      </c>
      <c r="DF67" s="71">
        <v>1264.9117498398093</v>
      </c>
      <c r="DG67" s="71">
        <v>1274.6648130620131</v>
      </c>
      <c r="DH67" s="71">
        <v>1284.5537208586861</v>
      </c>
      <c r="DI67" s="71">
        <v>1294.5784732298278</v>
      </c>
      <c r="DJ67" s="71">
        <v>1304.7390701754391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-69.838665394974498</v>
      </c>
      <c r="P68" s="71">
        <v>-69.838665394974498</v>
      </c>
      <c r="Q68" s="71">
        <v>-69.837469549862732</v>
      </c>
      <c r="R68" s="71">
        <v>-69.768286077609247</v>
      </c>
      <c r="S68" s="71">
        <v>-69.59264838649284</v>
      </c>
      <c r="T68" s="71">
        <v>-69.310556476513526</v>
      </c>
      <c r="U68" s="71">
        <v>-68.922010347671289</v>
      </c>
      <c r="V68" s="71">
        <v>-68.427009999966145</v>
      </c>
      <c r="W68" s="71">
        <v>-67.82555543339808</v>
      </c>
      <c r="X68" s="71">
        <v>-67.117646647967078</v>
      </c>
      <c r="Y68" s="71">
        <v>-66.303283643673183</v>
      </c>
      <c r="Z68" s="71">
        <v>-65.382466420516351</v>
      </c>
      <c r="AA68" s="71">
        <v>-64.355194978496627</v>
      </c>
      <c r="AB68" s="71">
        <v>-63.221469317613966</v>
      </c>
      <c r="AC68" s="71">
        <v>-61.981289437868398</v>
      </c>
      <c r="AD68" s="71">
        <v>-60.634655339259915</v>
      </c>
      <c r="AE68" s="71">
        <v>-59.18156702178851</v>
      </c>
      <c r="AF68" s="71">
        <v>-57.62202448545419</v>
      </c>
      <c r="AG68" s="71">
        <v>-55.956027730256949</v>
      </c>
      <c r="AH68" s="71">
        <v>-54.183576756196793</v>
      </c>
      <c r="AI68" s="71">
        <v>-52.304671563273722</v>
      </c>
      <c r="AJ68" s="71">
        <v>-50.319312151487736</v>
      </c>
      <c r="AK68" s="71">
        <v>-48.227498520838829</v>
      </c>
      <c r="AL68" s="71">
        <v>-46.029230671327007</v>
      </c>
      <c r="AM68" s="71">
        <v>-43.724508602952262</v>
      </c>
      <c r="AN68" s="71">
        <v>-41.313332315714611</v>
      </c>
      <c r="AO68" s="71">
        <v>-38.795701809614023</v>
      </c>
      <c r="AP68" s="71">
        <v>-36.171617084650542</v>
      </c>
      <c r="AQ68" s="71">
        <v>-33.441078140824132</v>
      </c>
      <c r="AR68" s="71">
        <v>-30.604084978134818</v>
      </c>
      <c r="AS68" s="71">
        <v>-27.660637596582568</v>
      </c>
      <c r="AT68" s="71">
        <v>-24.610735996167413</v>
      </c>
      <c r="AU68" s="71">
        <v>-21.454380176889334</v>
      </c>
      <c r="AV68" s="71">
        <v>-18.191570138748347</v>
      </c>
      <c r="AW68" s="71">
        <v>-14.822305881744434</v>
      </c>
      <c r="AX68" s="71">
        <v>-11.34488957543774</v>
      </c>
      <c r="AY68" s="71">
        <v>-7.7092863617649146</v>
      </c>
      <c r="AZ68" s="71">
        <v>-3.8922751152268997</v>
      </c>
      <c r="BA68" s="71">
        <v>0.10614416417630101</v>
      </c>
      <c r="BB68" s="71">
        <v>4.2859714764446881</v>
      </c>
      <c r="BC68" s="71">
        <v>8.6472068215782603</v>
      </c>
      <c r="BD68" s="71">
        <v>13.189850199577041</v>
      </c>
      <c r="BE68" s="71">
        <v>17.913901610440966</v>
      </c>
      <c r="BF68" s="71">
        <v>22.819361054170116</v>
      </c>
      <c r="BG68" s="71">
        <v>27.906228530764412</v>
      </c>
      <c r="BH68" s="71">
        <v>33.174504040223937</v>
      </c>
      <c r="BI68" s="71">
        <v>38.624187582548601</v>
      </c>
      <c r="BJ68" s="71">
        <v>44.255279157738499</v>
      </c>
      <c r="BK68" s="71">
        <v>50.067778765793591</v>
      </c>
      <c r="BL68" s="71">
        <v>56.061686406713818</v>
      </c>
      <c r="BM68" s="71">
        <v>62.237002080499273</v>
      </c>
      <c r="BN68" s="71">
        <v>68.593725787149864</v>
      </c>
      <c r="BO68" s="71">
        <v>75.131857526665712</v>
      </c>
      <c r="BP68" s="71">
        <v>81.851397299046667</v>
      </c>
      <c r="BQ68" s="71">
        <v>88.752345104292871</v>
      </c>
      <c r="BR68" s="71">
        <v>95.834700942404197</v>
      </c>
      <c r="BS68" s="71">
        <v>103.09846481338079</v>
      </c>
      <c r="BT68" s="71">
        <v>110.5436367172225</v>
      </c>
      <c r="BU68" s="71">
        <v>118.17021665392946</v>
      </c>
      <c r="BV68" s="71">
        <v>125.97820462350154</v>
      </c>
      <c r="BW68" s="71">
        <v>133.96760062593884</v>
      </c>
      <c r="BX68" s="71">
        <v>142.13840466124131</v>
      </c>
      <c r="BY68" s="71">
        <v>150.490616729409</v>
      </c>
      <c r="BZ68" s="71">
        <v>159.02423683044182</v>
      </c>
      <c r="CA68" s="71">
        <v>167.7392649643399</v>
      </c>
      <c r="CB68" s="71">
        <v>176.63570113110316</v>
      </c>
      <c r="CC68" s="71">
        <v>185.71354533073151</v>
      </c>
      <c r="CD68" s="71">
        <v>194.97279756322519</v>
      </c>
      <c r="CE68" s="71">
        <v>204.41345782858394</v>
      </c>
      <c r="CF68" s="71">
        <v>214.03552612680792</v>
      </c>
      <c r="CG68" s="71">
        <v>223.83900245789704</v>
      </c>
      <c r="CH68" s="71">
        <v>233.82388682185143</v>
      </c>
      <c r="CI68" s="71">
        <v>243.9901792186709</v>
      </c>
      <c r="CJ68" s="71">
        <v>254.33787964835571</v>
      </c>
      <c r="CK68" s="71">
        <v>264.8669881109056</v>
      </c>
      <c r="CL68" s="71">
        <v>275.5775046063207</v>
      </c>
      <c r="CM68" s="71">
        <v>286.46942913460094</v>
      </c>
      <c r="CN68" s="71">
        <v>297.54276169574644</v>
      </c>
      <c r="CO68" s="71">
        <v>308.79750228975706</v>
      </c>
      <c r="CP68" s="71">
        <v>320.23365091663288</v>
      </c>
      <c r="CQ68" s="71">
        <v>331.85120757637389</v>
      </c>
      <c r="CR68" s="71">
        <v>343.65017226898027</v>
      </c>
      <c r="CS68" s="71">
        <v>355.63054499445155</v>
      </c>
      <c r="CT68" s="71">
        <v>367.79232575278809</v>
      </c>
      <c r="CU68" s="71">
        <v>380.13551454398981</v>
      </c>
      <c r="CV68" s="71">
        <v>392.6601113680569</v>
      </c>
      <c r="CW68" s="71">
        <v>405.36611622498901</v>
      </c>
      <c r="CX68" s="71">
        <v>418.2535291147862</v>
      </c>
      <c r="CY68" s="71">
        <v>431.32235003744864</v>
      </c>
      <c r="CZ68" s="71">
        <v>444.57257899297662</v>
      </c>
      <c r="DA68" s="71">
        <v>458.00421598136944</v>
      </c>
      <c r="DB68" s="71">
        <v>471.6172610026274</v>
      </c>
      <c r="DC68" s="71">
        <v>485.41171405675061</v>
      </c>
      <c r="DD68" s="71">
        <v>499.38757514373924</v>
      </c>
      <c r="DE68" s="71">
        <v>513.54484426359272</v>
      </c>
      <c r="DF68" s="71">
        <v>527.88352141631151</v>
      </c>
      <c r="DG68" s="71">
        <v>542.40360660189572</v>
      </c>
      <c r="DH68" s="71">
        <v>557.10509982034478</v>
      </c>
      <c r="DI68" s="71">
        <v>571.98800107165914</v>
      </c>
      <c r="DJ68" s="71">
        <v>587.0523103558387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1491.1414903282293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118.26211979983579</v>
      </c>
      <c r="K85" s="79">
        <v>945.99350905852759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-963.2010889671302</v>
      </c>
      <c r="K86" s="79">
        <v>903.2057757779512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935242.77927316551</v>
      </c>
      <c r="J89" s="80">
        <v>7.9051550381635721E-2</v>
      </c>
      <c r="K89" s="80">
        <v>1.0023830850395991E-7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934498.01587839366</v>
      </c>
      <c r="J90" s="80">
        <v>6.4975508144406377E-2</v>
      </c>
      <c r="K90" s="80">
        <v>3.3728942423685164E-8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903205.77577795123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-12.095297634514861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1491.1414903282293</v>
      </c>
      <c r="K114" s="79">
        <v>544.38978819295221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118.26211979983579</v>
      </c>
      <c r="K115" s="79">
        <v>24.809351686021554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-963.2010889671302</v>
      </c>
      <c r="K116" s="79">
        <v>-69.838665394974498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3.6572854365050231</v>
      </c>
      <c r="J119" s="80">
        <v>1.6302703031366726E-4</v>
      </c>
      <c r="K119" s="80">
        <v>1.3385911387705995E-10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3.0379574824460152</v>
      </c>
      <c r="J120" s="80">
        <v>1.5132172027664196E-4</v>
      </c>
      <c r="K120" s="80">
        <v>7.8551468644470087E-11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-69.838665394974498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3245.2538610563238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1.0195010327572049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-500.97160282859397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-857.38108896713015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8.0298727424573668E-2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90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5.7837114769857645E-2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0.13469708745272629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-46.316970220162119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-12.095297634514861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3.7196827383920738E-3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-46.273200639534487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-12.082528754901835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3.2690695509679193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I178" sqref="I178"/>
    </sheetView>
  </sheetViews>
  <sheetFormatPr baseColWidth="10"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9" t="s">
        <v>17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</row>
    <row r="4" spans="1:15" s="46" customFormat="1" ht="20.100000000000001" hidden="1" customHeight="1" outlineLevel="1">
      <c r="A4" s="47" t="s">
        <v>16</v>
      </c>
      <c r="B4" s="181" t="s">
        <v>15</v>
      </c>
      <c r="C4" s="181"/>
      <c r="D4" s="181"/>
      <c r="E4" s="181"/>
      <c r="F4" s="181"/>
      <c r="G4" s="181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2"/>
      <c r="C5" s="183"/>
      <c r="D5" s="183"/>
      <c r="E5" s="183"/>
      <c r="F5" s="183"/>
      <c r="G5" s="184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2"/>
      <c r="C6" s="183"/>
      <c r="D6" s="183"/>
      <c r="E6" s="183"/>
      <c r="F6" s="183"/>
      <c r="G6" s="184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2"/>
      <c r="C7" s="183"/>
      <c r="D7" s="183"/>
      <c r="E7" s="183"/>
      <c r="F7" s="183"/>
      <c r="G7" s="184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2"/>
      <c r="C8" s="183"/>
      <c r="D8" s="183"/>
      <c r="E8" s="183"/>
      <c r="F8" s="183"/>
      <c r="G8" s="184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2"/>
      <c r="C9" s="183"/>
      <c r="D9" s="183"/>
      <c r="E9" s="183"/>
      <c r="F9" s="183"/>
      <c r="G9" s="184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5" t="s">
        <v>101</v>
      </c>
      <c r="C13" s="175"/>
      <c r="D13" s="174" t="str">
        <f>Gap30deg!D13</f>
        <v>SP2200052</v>
      </c>
      <c r="E13" s="174"/>
      <c r="F13" s="174"/>
      <c r="G13" s="174"/>
      <c r="H13" s="174"/>
      <c r="I13" s="174"/>
      <c r="J13" s="174"/>
      <c r="K13" s="174"/>
      <c r="L13" s="86"/>
    </row>
    <row r="14" spans="1:15" s="85" customFormat="1" ht="20.100000000000001" customHeight="1" outlineLevel="1">
      <c r="A14" s="87"/>
      <c r="B14" s="175" t="s">
        <v>100</v>
      </c>
      <c r="C14" s="175"/>
      <c r="D14" s="174" t="str">
        <f>Gap30deg!D14</f>
        <v>Stichting GROW</v>
      </c>
      <c r="E14" s="174"/>
      <c r="F14" s="174"/>
      <c r="G14" s="174"/>
      <c r="H14" s="174"/>
      <c r="I14" s="174"/>
      <c r="J14" s="174"/>
      <c r="K14" s="174"/>
      <c r="L14" s="86"/>
    </row>
    <row r="15" spans="1:15" s="85" customFormat="1" ht="20.100000000000001" customHeight="1" outlineLevel="1">
      <c r="A15" s="87"/>
      <c r="B15" s="175" t="s">
        <v>99</v>
      </c>
      <c r="C15" s="175"/>
      <c r="D15" s="174" t="str">
        <f>Gap30deg!D15</f>
        <v>Bolt and Beautiful</v>
      </c>
      <c r="E15" s="174"/>
      <c r="F15" s="174"/>
      <c r="G15" s="174"/>
      <c r="H15" s="174"/>
      <c r="I15" s="174"/>
      <c r="J15" s="174"/>
      <c r="K15" s="174"/>
      <c r="L15" s="86"/>
    </row>
    <row r="16" spans="1:15" s="85" customFormat="1" ht="20.100000000000001" customHeight="1" outlineLevel="1">
      <c r="A16" s="87"/>
      <c r="B16" s="175" t="s">
        <v>98</v>
      </c>
      <c r="C16" s="175"/>
      <c r="D16" s="174" t="str">
        <f>Title</f>
        <v>Flange Segment Analytical Model for 120° gap size</v>
      </c>
      <c r="E16" s="174"/>
      <c r="F16" s="174"/>
      <c r="G16" s="174"/>
      <c r="H16" s="174"/>
      <c r="I16" s="174"/>
      <c r="J16" s="174"/>
      <c r="K16" s="174"/>
      <c r="L16" s="86"/>
      <c r="M16" s="88"/>
    </row>
    <row r="17" spans="1:22" s="85" customFormat="1" ht="20.100000000000001" customHeight="1" outlineLevel="1">
      <c r="A17" s="87"/>
      <c r="B17" s="175" t="s">
        <v>97</v>
      </c>
      <c r="C17" s="175"/>
      <c r="D17" s="174" t="str">
        <f>Gap30deg!D17</f>
        <v>0.10</v>
      </c>
      <c r="E17" s="174"/>
      <c r="F17" s="174"/>
      <c r="G17" s="174"/>
      <c r="H17" s="174"/>
      <c r="I17" s="174"/>
      <c r="J17" s="174"/>
      <c r="K17" s="174"/>
      <c r="L17" s="86"/>
    </row>
    <row r="18" spans="1:22" s="85" customFormat="1" ht="20.100000000000001" customHeight="1" outlineLevel="1">
      <c r="A18" s="87"/>
      <c r="B18" s="175" t="s">
        <v>96</v>
      </c>
      <c r="C18" s="175"/>
      <c r="D18" s="185">
        <f>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6"/>
      <c r="C28" s="177"/>
      <c r="D28" s="177"/>
      <c r="E28" s="177"/>
      <c r="F28" s="177"/>
      <c r="G28" s="177"/>
      <c r="H28" s="177"/>
      <c r="I28" s="177"/>
      <c r="J28" s="177"/>
      <c r="K28" s="178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299</v>
      </c>
      <c r="C40" s="8"/>
      <c r="D40" s="8"/>
      <c r="E40" s="8"/>
      <c r="F40" s="8"/>
      <c r="G40" s="8"/>
      <c r="H40" s="8"/>
      <c r="I40" s="7" t="s">
        <v>300</v>
      </c>
      <c r="J40" s="62">
        <v>1.8</v>
      </c>
      <c r="K40" s="5" t="s">
        <v>215</v>
      </c>
      <c r="L40" s="3"/>
    </row>
    <row r="41" spans="1:22" ht="20.100000000000001" customHeight="1" outlineLevel="1">
      <c r="A41" s="9" t="s">
        <v>6</v>
      </c>
      <c r="B41" s="8" t="s">
        <v>294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323</v>
      </c>
      <c r="C42" s="17"/>
      <c r="D42" s="17"/>
      <c r="E42" s="17"/>
      <c r="F42" s="17"/>
      <c r="G42" s="17"/>
      <c r="H42" s="17"/>
      <c r="I42" s="16" t="s">
        <v>33</v>
      </c>
      <c r="J42" s="64">
        <v>-105.82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346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-994.23086875782496</v>
      </c>
      <c r="P66" s="71">
        <v>-968.30470127058106</v>
      </c>
      <c r="Q66" s="71">
        <v>-942.37853378333716</v>
      </c>
      <c r="R66" s="71">
        <v>-916.45236629609349</v>
      </c>
      <c r="S66" s="71">
        <v>-890.52619880884959</v>
      </c>
      <c r="T66" s="71">
        <v>-864.60003132160568</v>
      </c>
      <c r="U66" s="71">
        <v>-838.67386383436178</v>
      </c>
      <c r="V66" s="71">
        <v>-812.74769634711788</v>
      </c>
      <c r="W66" s="71">
        <v>-786.82152885987398</v>
      </c>
      <c r="X66" s="71">
        <v>-760.89536137263008</v>
      </c>
      <c r="Y66" s="71">
        <v>-734.96919388538618</v>
      </c>
      <c r="Z66" s="71">
        <v>-709.04302639814239</v>
      </c>
      <c r="AA66" s="71">
        <v>-683.1168589108986</v>
      </c>
      <c r="AB66" s="71">
        <v>-657.1906914236547</v>
      </c>
      <c r="AC66" s="71">
        <v>-631.2645239364108</v>
      </c>
      <c r="AD66" s="71">
        <v>-605.33835644916701</v>
      </c>
      <c r="AE66" s="71">
        <v>-579.41218896192311</v>
      </c>
      <c r="AF66" s="71">
        <v>-553.48602147467921</v>
      </c>
      <c r="AG66" s="71">
        <v>-527.5598539874353</v>
      </c>
      <c r="AH66" s="71">
        <v>-501.63368650019146</v>
      </c>
      <c r="AI66" s="71">
        <v>-475.70751901294756</v>
      </c>
      <c r="AJ66" s="71">
        <v>-449.78135152570366</v>
      </c>
      <c r="AK66" s="71">
        <v>-423.85518403845981</v>
      </c>
      <c r="AL66" s="71">
        <v>-397.92901655121602</v>
      </c>
      <c r="AM66" s="71">
        <v>-372.00284906397212</v>
      </c>
      <c r="AN66" s="71">
        <v>-346.07668157672822</v>
      </c>
      <c r="AO66" s="71">
        <v>-320.15051408948437</v>
      </c>
      <c r="AP66" s="71">
        <v>-294.22434660224047</v>
      </c>
      <c r="AQ66" s="71">
        <v>-268.29817911499657</v>
      </c>
      <c r="AR66" s="71">
        <v>-242.37201162775281</v>
      </c>
      <c r="AS66" s="71">
        <v>-216.44584414050891</v>
      </c>
      <c r="AT66" s="71">
        <v>-190.51967665326501</v>
      </c>
      <c r="AU66" s="71">
        <v>-164.59350916602114</v>
      </c>
      <c r="AV66" s="71">
        <v>-138.66734167877723</v>
      </c>
      <c r="AW66" s="71">
        <v>-112.74117419153336</v>
      </c>
      <c r="AX66" s="71">
        <v>-86.815006704289459</v>
      </c>
      <c r="AY66" s="71">
        <v>-60.888839217045692</v>
      </c>
      <c r="AZ66" s="71">
        <v>-34.962671729801805</v>
      </c>
      <c r="BA66" s="71">
        <v>-9.0365042425579158</v>
      </c>
      <c r="BB66" s="71">
        <v>16.889663244685973</v>
      </c>
      <c r="BC66" s="71">
        <v>42.815830731929864</v>
      </c>
      <c r="BD66" s="71">
        <v>68.741998219173752</v>
      </c>
      <c r="BE66" s="71">
        <v>94.668165706417639</v>
      </c>
      <c r="BF66" s="71">
        <v>120.59433319366153</v>
      </c>
      <c r="BG66" s="71">
        <v>146.52050068090543</v>
      </c>
      <c r="BH66" s="71">
        <v>172.44666816814907</v>
      </c>
      <c r="BI66" s="71">
        <v>198.37283565539298</v>
      </c>
      <c r="BJ66" s="71">
        <v>224.29900314263685</v>
      </c>
      <c r="BK66" s="71">
        <v>250.22517062988075</v>
      </c>
      <c r="BL66" s="71">
        <v>276.15133811712462</v>
      </c>
      <c r="BM66" s="71">
        <v>302.07750560436853</v>
      </c>
      <c r="BN66" s="71">
        <v>328.00367309161243</v>
      </c>
      <c r="BO66" s="71">
        <v>353.92984057885627</v>
      </c>
      <c r="BP66" s="71">
        <v>379.85600806610017</v>
      </c>
      <c r="BQ66" s="71">
        <v>405.78217555334408</v>
      </c>
      <c r="BR66" s="71">
        <v>431.70834304058798</v>
      </c>
      <c r="BS66" s="71">
        <v>457.63451052783188</v>
      </c>
      <c r="BT66" s="71">
        <v>483.56067801507572</v>
      </c>
      <c r="BU66" s="71">
        <v>509.4868455023194</v>
      </c>
      <c r="BV66" s="71">
        <v>535.4130129895633</v>
      </c>
      <c r="BW66" s="71">
        <v>561.3391804768072</v>
      </c>
      <c r="BX66" s="71">
        <v>587.2653479640511</v>
      </c>
      <c r="BY66" s="71">
        <v>613.191515451295</v>
      </c>
      <c r="BZ66" s="71">
        <v>639.11768293853879</v>
      </c>
      <c r="CA66" s="71">
        <v>665.04385042578269</v>
      </c>
      <c r="CB66" s="71">
        <v>690.9700179130266</v>
      </c>
      <c r="CC66" s="71">
        <v>716.8961854002705</v>
      </c>
      <c r="CD66" s="71">
        <v>742.8223528875144</v>
      </c>
      <c r="CE66" s="71">
        <v>768.7485203747583</v>
      </c>
      <c r="CF66" s="71">
        <v>794.6746878620022</v>
      </c>
      <c r="CG66" s="71">
        <v>820.6008553492461</v>
      </c>
      <c r="CH66" s="71">
        <v>846.52702283648966</v>
      </c>
      <c r="CI66" s="71">
        <v>872.45319032373357</v>
      </c>
      <c r="CJ66" s="71">
        <v>898.37935781097747</v>
      </c>
      <c r="CK66" s="71">
        <v>924.30552529822137</v>
      </c>
      <c r="CL66" s="71">
        <v>950.23169278546527</v>
      </c>
      <c r="CM66" s="71">
        <v>976.15786027270917</v>
      </c>
      <c r="CN66" s="71">
        <v>1002.0840277599531</v>
      </c>
      <c r="CO66" s="71">
        <v>1028.0101952471969</v>
      </c>
      <c r="CP66" s="71">
        <v>1053.9363627344408</v>
      </c>
      <c r="CQ66" s="71">
        <v>1079.8625302216849</v>
      </c>
      <c r="CR66" s="71">
        <v>1105.7886977089286</v>
      </c>
      <c r="CS66" s="71">
        <v>1131.7148651961727</v>
      </c>
      <c r="CT66" s="71">
        <v>1157.6410326834164</v>
      </c>
      <c r="CU66" s="71">
        <v>1183.5672001706605</v>
      </c>
      <c r="CV66" s="71">
        <v>1209.4933676579039</v>
      </c>
      <c r="CW66" s="71">
        <v>1235.4195351451481</v>
      </c>
      <c r="CX66" s="71">
        <v>1261.3457026323917</v>
      </c>
      <c r="CY66" s="71">
        <v>1287.2718701196359</v>
      </c>
      <c r="CZ66" s="71">
        <v>1313.1980376068796</v>
      </c>
      <c r="DA66" s="71">
        <v>1339.1242050941232</v>
      </c>
      <c r="DB66" s="71">
        <v>1365.0503725813674</v>
      </c>
      <c r="DC66" s="71">
        <v>1390.976540068611</v>
      </c>
      <c r="DD66" s="71">
        <v>1416.9027075558552</v>
      </c>
      <c r="DE66" s="71">
        <v>1442.8288750430988</v>
      </c>
      <c r="DF66" s="71">
        <v>1468.755042530343</v>
      </c>
      <c r="DG66" s="71">
        <v>1494.6812100175866</v>
      </c>
      <c r="DH66" s="71">
        <v>1520.6073775048308</v>
      </c>
      <c r="DI66" s="71">
        <v>1546.5335449920744</v>
      </c>
      <c r="DJ66" s="71">
        <v>1572.4597124793186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904.28146937538088</v>
      </c>
      <c r="P67" s="71">
        <v>904.28146937538088</v>
      </c>
      <c r="Q67" s="71">
        <v>904.28215076639572</v>
      </c>
      <c r="R67" s="71">
        <v>904.31252570626339</v>
      </c>
      <c r="S67" s="71">
        <v>904.3879754356692</v>
      </c>
      <c r="T67" s="71">
        <v>904.50849995461328</v>
      </c>
      <c r="U67" s="71">
        <v>904.6740992630954</v>
      </c>
      <c r="V67" s="71">
        <v>904.88477336111578</v>
      </c>
      <c r="W67" s="71">
        <v>905.14052224867453</v>
      </c>
      <c r="X67" s="71">
        <v>905.44134592577132</v>
      </c>
      <c r="Y67" s="71">
        <v>905.78724439240636</v>
      </c>
      <c r="Z67" s="71">
        <v>906.17821764857956</v>
      </c>
      <c r="AA67" s="71">
        <v>906.61426569429102</v>
      </c>
      <c r="AB67" s="71">
        <v>907.09538852954063</v>
      </c>
      <c r="AC67" s="71">
        <v>907.62158615432838</v>
      </c>
      <c r="AD67" s="71">
        <v>908.1928585686544</v>
      </c>
      <c r="AE67" s="71">
        <v>908.80920577251868</v>
      </c>
      <c r="AF67" s="71">
        <v>909.47062776592099</v>
      </c>
      <c r="AG67" s="71">
        <v>910.17712454886168</v>
      </c>
      <c r="AH67" s="71">
        <v>910.92869612134041</v>
      </c>
      <c r="AI67" s="71">
        <v>911.72534248335739</v>
      </c>
      <c r="AJ67" s="71">
        <v>912.56706363491264</v>
      </c>
      <c r="AK67" s="71">
        <v>913.45385957600593</v>
      </c>
      <c r="AL67" s="71">
        <v>914.38573030663747</v>
      </c>
      <c r="AM67" s="71">
        <v>915.36267582680728</v>
      </c>
      <c r="AN67" s="71">
        <v>916.38469613651523</v>
      </c>
      <c r="AO67" s="71">
        <v>917.45179123576145</v>
      </c>
      <c r="AP67" s="71">
        <v>918.56396112454593</v>
      </c>
      <c r="AQ67" s="71">
        <v>919.72120580286833</v>
      </c>
      <c r="AR67" s="71">
        <v>920.92352527072921</v>
      </c>
      <c r="AS67" s="71">
        <v>922.17091952812814</v>
      </c>
      <c r="AT67" s="71">
        <v>923.46338857506532</v>
      </c>
      <c r="AU67" s="71">
        <v>924.80093241154066</v>
      </c>
      <c r="AV67" s="71">
        <v>926.18355103755414</v>
      </c>
      <c r="AW67" s="71">
        <v>927.611244453106</v>
      </c>
      <c r="AX67" s="71">
        <v>929.10808815129599</v>
      </c>
      <c r="AY67" s="71">
        <v>930.73642155474829</v>
      </c>
      <c r="AZ67" s="71">
        <v>932.49943766633169</v>
      </c>
      <c r="BA67" s="71">
        <v>934.39713648604607</v>
      </c>
      <c r="BB67" s="71">
        <v>936.42951801389131</v>
      </c>
      <c r="BC67" s="71">
        <v>938.59658224986765</v>
      </c>
      <c r="BD67" s="71">
        <v>940.89832919397509</v>
      </c>
      <c r="BE67" s="71">
        <v>943.33475884621339</v>
      </c>
      <c r="BF67" s="71">
        <v>945.90587120658279</v>
      </c>
      <c r="BG67" s="71">
        <v>948.61166627508317</v>
      </c>
      <c r="BH67" s="71">
        <v>951.45214405171453</v>
      </c>
      <c r="BI67" s="71">
        <v>954.42730453647698</v>
      </c>
      <c r="BJ67" s="71">
        <v>957.53714772937042</v>
      </c>
      <c r="BK67" s="71">
        <v>960.78167363039472</v>
      </c>
      <c r="BL67" s="71">
        <v>964.16088223955023</v>
      </c>
      <c r="BM67" s="71">
        <v>967.67477355683661</v>
      </c>
      <c r="BN67" s="71">
        <v>971.32334758225409</v>
      </c>
      <c r="BO67" s="71">
        <v>975.10660431580254</v>
      </c>
      <c r="BP67" s="71">
        <v>979.02454375748209</v>
      </c>
      <c r="BQ67" s="71">
        <v>983.07716590729262</v>
      </c>
      <c r="BR67" s="71">
        <v>987.26447076523414</v>
      </c>
      <c r="BS67" s="71">
        <v>991.58645833130663</v>
      </c>
      <c r="BT67" s="71">
        <v>996.04312860551011</v>
      </c>
      <c r="BU67" s="71">
        <v>1000.6344815878447</v>
      </c>
      <c r="BV67" s="71">
        <v>1005.3605172783101</v>
      </c>
      <c r="BW67" s="71">
        <v>1010.2212356769066</v>
      </c>
      <c r="BX67" s="71">
        <v>1015.2166367836342</v>
      </c>
      <c r="BY67" s="71">
        <v>1020.3467205984928</v>
      </c>
      <c r="BZ67" s="71">
        <v>1025.6114871214825</v>
      </c>
      <c r="CA67" s="71">
        <v>1031.0109363526028</v>
      </c>
      <c r="CB67" s="71">
        <v>1036.5450682918545</v>
      </c>
      <c r="CC67" s="71">
        <v>1042.2138829392372</v>
      </c>
      <c r="CD67" s="71">
        <v>1048.0173802947509</v>
      </c>
      <c r="CE67" s="71">
        <v>1053.9555603583954</v>
      </c>
      <c r="CF67" s="71">
        <v>1060.0284231301712</v>
      </c>
      <c r="CG67" s="71">
        <v>1066.2359686100776</v>
      </c>
      <c r="CH67" s="71">
        <v>1072.5781967981152</v>
      </c>
      <c r="CI67" s="71">
        <v>1079.0551076942841</v>
      </c>
      <c r="CJ67" s="71">
        <v>1085.6667012985838</v>
      </c>
      <c r="CK67" s="71">
        <v>1092.4129776110144</v>
      </c>
      <c r="CL67" s="71">
        <v>1099.2939366315761</v>
      </c>
      <c r="CM67" s="71">
        <v>1106.3095783602689</v>
      </c>
      <c r="CN67" s="71">
        <v>1113.4599027970924</v>
      </c>
      <c r="CO67" s="71">
        <v>1120.7449099420471</v>
      </c>
      <c r="CP67" s="71">
        <v>1128.164599795133</v>
      </c>
      <c r="CQ67" s="71">
        <v>1135.7189723563497</v>
      </c>
      <c r="CR67" s="71">
        <v>1143.4080276256975</v>
      </c>
      <c r="CS67" s="71">
        <v>1151.2317656031764</v>
      </c>
      <c r="CT67" s="71">
        <v>1159.190186288786</v>
      </c>
      <c r="CU67" s="71">
        <v>1167.2832896825269</v>
      </c>
      <c r="CV67" s="71">
        <v>1175.5110757843984</v>
      </c>
      <c r="CW67" s="71">
        <v>1183.8735445944014</v>
      </c>
      <c r="CX67" s="71">
        <v>1192.3706961125351</v>
      </c>
      <c r="CY67" s="71">
        <v>1201.0025303387999</v>
      </c>
      <c r="CZ67" s="71">
        <v>1209.7690472731958</v>
      </c>
      <c r="DA67" s="71">
        <v>1218.6702469157226</v>
      </c>
      <c r="DB67" s="71">
        <v>1227.7061292663802</v>
      </c>
      <c r="DC67" s="71">
        <v>1236.8766943251694</v>
      </c>
      <c r="DD67" s="71">
        <v>1246.1819420920892</v>
      </c>
      <c r="DE67" s="71">
        <v>1255.6218725671401</v>
      </c>
      <c r="DF67" s="71">
        <v>1265.1964857503219</v>
      </c>
      <c r="DG67" s="71">
        <v>1274.9057816416346</v>
      </c>
      <c r="DH67" s="71">
        <v>1284.7497602410788</v>
      </c>
      <c r="DI67" s="71">
        <v>1294.7284215486536</v>
      </c>
      <c r="DJ67" s="71">
        <v>1304.8417655643598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-67.808054727749493</v>
      </c>
      <c r="P68" s="71">
        <v>-67.808054727749493</v>
      </c>
      <c r="Q68" s="71">
        <v>-67.806450342866142</v>
      </c>
      <c r="R68" s="71">
        <v>-67.734930329691522</v>
      </c>
      <c r="S68" s="71">
        <v>-67.557278434259246</v>
      </c>
      <c r="T68" s="71">
        <v>-67.273494656569326</v>
      </c>
      <c r="U68" s="71">
        <v>-66.883578996621736</v>
      </c>
      <c r="V68" s="71">
        <v>-66.387531454416518</v>
      </c>
      <c r="W68" s="71">
        <v>-65.785352029953629</v>
      </c>
      <c r="X68" s="71">
        <v>-65.077040723233083</v>
      </c>
      <c r="Y68" s="71">
        <v>-64.262597534254894</v>
      </c>
      <c r="Z68" s="71">
        <v>-63.342022463019056</v>
      </c>
      <c r="AA68" s="71">
        <v>-62.315315509525554</v>
      </c>
      <c r="AB68" s="71">
        <v>-61.18247667377441</v>
      </c>
      <c r="AC68" s="71">
        <v>-59.943505955765602</v>
      </c>
      <c r="AD68" s="71">
        <v>-58.598403355499165</v>
      </c>
      <c r="AE68" s="71">
        <v>-57.147168872975058</v>
      </c>
      <c r="AF68" s="71">
        <v>-55.589802508193308</v>
      </c>
      <c r="AG68" s="71">
        <v>-53.926304261153895</v>
      </c>
      <c r="AH68" s="71">
        <v>-52.156674131856839</v>
      </c>
      <c r="AI68" s="71">
        <v>-50.280912120302119</v>
      </c>
      <c r="AJ68" s="71">
        <v>-48.299018226489757</v>
      </c>
      <c r="AK68" s="71">
        <v>-46.210992450419738</v>
      </c>
      <c r="AL68" s="71">
        <v>-44.016834792092077</v>
      </c>
      <c r="AM68" s="71">
        <v>-41.716545251506759</v>
      </c>
      <c r="AN68" s="71">
        <v>-39.310123828663777</v>
      </c>
      <c r="AO68" s="71">
        <v>-36.797570523563152</v>
      </c>
      <c r="AP68" s="71">
        <v>-34.178885336204878</v>
      </c>
      <c r="AQ68" s="71">
        <v>-31.454068266588941</v>
      </c>
      <c r="AR68" s="71">
        <v>-28.623119314715371</v>
      </c>
      <c r="AS68" s="71">
        <v>-25.686038480584138</v>
      </c>
      <c r="AT68" s="71">
        <v>-22.642825764195251</v>
      </c>
      <c r="AU68" s="71">
        <v>-19.493481165548705</v>
      </c>
      <c r="AV68" s="71">
        <v>-16.238004684644515</v>
      </c>
      <c r="AW68" s="71">
        <v>-12.87639632148267</v>
      </c>
      <c r="AX68" s="71">
        <v>-9.3883727979384641</v>
      </c>
      <c r="AY68" s="71">
        <v>-5.7214139914967586</v>
      </c>
      <c r="AZ68" s="71">
        <v>-1.8728298403187904</v>
      </c>
      <c r="BA68" s="71">
        <v>2.1573796555954217</v>
      </c>
      <c r="BB68" s="71">
        <v>6.3692144962458794</v>
      </c>
      <c r="BC68" s="71">
        <v>10.76267468163258</v>
      </c>
      <c r="BD68" s="71">
        <v>15.337760211755526</v>
      </c>
      <c r="BE68" s="71">
        <v>20.094471086614718</v>
      </c>
      <c r="BF68" s="71">
        <v>25.032807306210152</v>
      </c>
      <c r="BG68" s="71">
        <v>30.152768870541831</v>
      </c>
      <c r="BH68" s="71">
        <v>35.454355779609706</v>
      </c>
      <c r="BI68" s="71">
        <v>40.937568033413882</v>
      </c>
      <c r="BJ68" s="71">
        <v>46.602405631954298</v>
      </c>
      <c r="BK68" s="71">
        <v>52.448868575230954</v>
      </c>
      <c r="BL68" s="71">
        <v>58.476956863243856</v>
      </c>
      <c r="BM68" s="71">
        <v>64.686670495992999</v>
      </c>
      <c r="BN68" s="71">
        <v>71.078009473478389</v>
      </c>
      <c r="BO68" s="71">
        <v>77.650973795700025</v>
      </c>
      <c r="BP68" s="71">
        <v>84.405563462657909</v>
      </c>
      <c r="BQ68" s="71">
        <v>91.341778474352026</v>
      </c>
      <c r="BR68" s="71">
        <v>98.459618830782389</v>
      </c>
      <c r="BS68" s="71">
        <v>105.75908453194901</v>
      </c>
      <c r="BT68" s="71">
        <v>113.24017557785187</v>
      </c>
      <c r="BU68" s="71">
        <v>120.90289196849091</v>
      </c>
      <c r="BV68" s="71">
        <v>128.74723370386624</v>
      </c>
      <c r="BW68" s="71">
        <v>136.77320078397784</v>
      </c>
      <c r="BX68" s="71">
        <v>144.9807932088257</v>
      </c>
      <c r="BY68" s="71">
        <v>153.37001097840977</v>
      </c>
      <c r="BZ68" s="71">
        <v>161.94085409273009</v>
      </c>
      <c r="CA68" s="71">
        <v>170.69332255178668</v>
      </c>
      <c r="CB68" s="71">
        <v>179.62741635557947</v>
      </c>
      <c r="CC68" s="71">
        <v>188.74313550410855</v>
      </c>
      <c r="CD68" s="71">
        <v>198.04047999737384</v>
      </c>
      <c r="CE68" s="71">
        <v>207.51944983537538</v>
      </c>
      <c r="CF68" s="71">
        <v>217.18004501811319</v>
      </c>
      <c r="CG68" s="71">
        <v>227.02226554558723</v>
      </c>
      <c r="CH68" s="71">
        <v>237.04611141779745</v>
      </c>
      <c r="CI68" s="71">
        <v>247.25158263474393</v>
      </c>
      <c r="CJ68" s="71">
        <v>257.63867919642672</v>
      </c>
      <c r="CK68" s="71">
        <v>268.20740110284572</v>
      </c>
      <c r="CL68" s="71">
        <v>278.95774835400101</v>
      </c>
      <c r="CM68" s="71">
        <v>289.88972094989248</v>
      </c>
      <c r="CN68" s="71">
        <v>301.00331889052023</v>
      </c>
      <c r="CO68" s="71">
        <v>312.29854217588417</v>
      </c>
      <c r="CP68" s="71">
        <v>323.77539080598444</v>
      </c>
      <c r="CQ68" s="71">
        <v>335.43386478082101</v>
      </c>
      <c r="CR68" s="71">
        <v>347.27396410039364</v>
      </c>
      <c r="CS68" s="71">
        <v>359.29568876470267</v>
      </c>
      <c r="CT68" s="71">
        <v>371.49903877374783</v>
      </c>
      <c r="CU68" s="71">
        <v>383.88401412752938</v>
      </c>
      <c r="CV68" s="71">
        <v>396.450614826047</v>
      </c>
      <c r="CW68" s="71">
        <v>409.19884086930108</v>
      </c>
      <c r="CX68" s="71">
        <v>422.12869225729116</v>
      </c>
      <c r="CY68" s="71">
        <v>435.24016899001771</v>
      </c>
      <c r="CZ68" s="71">
        <v>448.53327106748026</v>
      </c>
      <c r="DA68" s="71">
        <v>462.00799848967904</v>
      </c>
      <c r="DB68" s="71">
        <v>475.6643512566144</v>
      </c>
      <c r="DC68" s="71">
        <v>489.50232936828564</v>
      </c>
      <c r="DD68" s="71">
        <v>503.52193282469347</v>
      </c>
      <c r="DE68" s="71">
        <v>517.72316162583718</v>
      </c>
      <c r="DF68" s="71">
        <v>532.10601577171747</v>
      </c>
      <c r="DG68" s="71">
        <v>546.6704952623337</v>
      </c>
      <c r="DH68" s="71">
        <v>561.41660009768657</v>
      </c>
      <c r="DI68" s="71">
        <v>576.34433027777527</v>
      </c>
      <c r="DJ68" s="71">
        <v>591.45368580260049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322</v>
      </c>
      <c r="C83" s="11"/>
      <c r="D83" s="11"/>
      <c r="E83" s="11"/>
      <c r="F83" s="11"/>
      <c r="G83" s="11"/>
      <c r="H83" s="11"/>
      <c r="I83" s="10"/>
      <c r="J83" s="79">
        <v>-105.82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1497.5806785517318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117.46259288003888</v>
      </c>
      <c r="K85" s="79">
        <v>945.58814291838314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-946.88654167411892</v>
      </c>
      <c r="K86" s="79">
        <v>904.28146937538088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324</v>
      </c>
      <c r="C89" s="11"/>
      <c r="D89" s="11"/>
      <c r="E89" s="11"/>
      <c r="F89" s="11"/>
      <c r="G89" s="11"/>
      <c r="H89" s="11"/>
      <c r="I89" s="80">
        <v>935090.22757696745</v>
      </c>
      <c r="J89" s="80">
        <v>7.7604355273189513E-2</v>
      </c>
      <c r="K89" s="80">
        <v>1.0018557614940887E-7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934343.82133303268</v>
      </c>
      <c r="J90" s="80">
        <v>6.3497263155733077E-2</v>
      </c>
      <c r="K90" s="80">
        <v>3.3529499238350319E-8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904281.4693753809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322</v>
      </c>
      <c r="C113" s="11"/>
      <c r="D113" s="11"/>
      <c r="E113" s="11"/>
      <c r="F113" s="11"/>
      <c r="G113" s="11"/>
      <c r="H113" s="11"/>
      <c r="I113" s="10"/>
      <c r="J113" s="79">
        <f>point1.Z</f>
        <v>-105.82</v>
      </c>
      <c r="K113" s="79">
        <v>-11.961043008629227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1497.5806785517318</v>
      </c>
      <c r="K114" s="79">
        <v>548.31061448817388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117.46259288003888</v>
      </c>
      <c r="K115" s="79">
        <v>24.426638494204489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-946.88654167411892</v>
      </c>
      <c r="K116" s="79">
        <v>-67.808054727749493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324</v>
      </c>
      <c r="C119" s="11"/>
      <c r="D119" s="11"/>
      <c r="E119" s="11"/>
      <c r="F119" s="11"/>
      <c r="G119" s="11"/>
      <c r="H119" s="11"/>
      <c r="I119" s="80">
        <v>3.6047845855275731</v>
      </c>
      <c r="J119" s="80">
        <v>1.6139397594596932E-4</v>
      </c>
      <c r="K119" s="146">
        <v>1.3510449899801277E-10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2.9759473950743489</v>
      </c>
      <c r="J120" s="80">
        <v>1.4950894116136864E-4</v>
      </c>
      <c r="K120" s="80">
        <v>7.8947653483929085E-11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-67.808054727749493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41640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8">
        <v>49967999.999999978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2098.2466054380752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248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249</v>
      </c>
      <c r="C140" s="8"/>
      <c r="D140" s="8"/>
      <c r="E140" s="8"/>
      <c r="F140" s="8"/>
      <c r="G140" s="8"/>
      <c r="H140" s="8"/>
      <c r="I140" s="7" t="s">
        <v>250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246</v>
      </c>
      <c r="C141" s="8"/>
      <c r="D141" s="8"/>
      <c r="E141" s="8"/>
      <c r="F141" s="8"/>
      <c r="G141" s="8"/>
      <c r="H141" s="8"/>
      <c r="I141" s="7" t="s">
        <v>247</v>
      </c>
      <c r="J141" s="62">
        <v>166414.46129858619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1.0126085593106799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251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0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326</v>
      </c>
      <c r="C147" s="8"/>
      <c r="D147" s="8"/>
      <c r="E147" s="8"/>
      <c r="F147" s="8"/>
      <c r="G147" s="8"/>
      <c r="H147" s="8"/>
      <c r="I147" s="81" t="s">
        <v>327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-482.99206263031385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349</v>
      </c>
      <c r="C149" s="8"/>
      <c r="D149" s="8"/>
      <c r="E149" s="8"/>
      <c r="F149" s="8"/>
      <c r="G149" s="8"/>
      <c r="H149" s="8"/>
      <c r="I149" s="81" t="s">
        <v>348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329</v>
      </c>
      <c r="C150" s="8"/>
      <c r="D150" s="8"/>
      <c r="E150" s="8"/>
      <c r="F150" s="8"/>
      <c r="G150" s="8"/>
      <c r="H150" s="8"/>
      <c r="I150" s="81" t="s">
        <v>330</v>
      </c>
      <c r="J150" s="62">
        <v>-841.06654167411898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253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7.8770775148748473E-2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254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232</v>
      </c>
      <c r="N155" s="78" t="s">
        <v>225</v>
      </c>
      <c r="O155" s="78">
        <v>1</v>
      </c>
      <c r="P155" s="78" t="s">
        <v>226</v>
      </c>
      <c r="Q155" s="78" t="s">
        <v>227</v>
      </c>
      <c r="R155" s="78" t="s">
        <v>228</v>
      </c>
      <c r="S155" s="78" t="s">
        <v>229</v>
      </c>
      <c r="U155" s="99"/>
    </row>
    <row r="156" spans="1:21" ht="20.100000000000001" customHeight="1">
      <c r="A156" s="9" t="s">
        <v>5</v>
      </c>
      <c r="B156" s="8" t="s">
        <v>220</v>
      </c>
      <c r="C156" s="8"/>
      <c r="D156" s="8"/>
      <c r="E156" s="8"/>
      <c r="F156" s="8"/>
      <c r="G156" s="8"/>
      <c r="H156" s="8"/>
      <c r="I156" s="7" t="s">
        <v>233</v>
      </c>
      <c r="J156" s="62">
        <v>968.49894689613836</v>
      </c>
      <c r="K156" s="5" t="s">
        <v>221</v>
      </c>
      <c r="L156" s="3"/>
      <c r="M156" s="70" t="s">
        <v>231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223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235</v>
      </c>
      <c r="J157" s="62">
        <v>115.11020949360929</v>
      </c>
      <c r="K157" s="5" t="s">
        <v>78</v>
      </c>
      <c r="L157" s="3"/>
      <c r="M157" s="70" t="s">
        <v>230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222</v>
      </c>
      <c r="U157" s="99"/>
    </row>
    <row r="158" spans="1:21" ht="20.100000000000001" customHeight="1">
      <c r="A158" s="9" t="s">
        <v>3</v>
      </c>
      <c r="B158" s="8" t="s">
        <v>282</v>
      </c>
      <c r="C158" s="8"/>
      <c r="D158" s="8"/>
      <c r="E158" s="8"/>
      <c r="F158" s="8"/>
      <c r="G158" s="8"/>
      <c r="H158" s="8"/>
      <c r="I158" s="7" t="s">
        <v>218</v>
      </c>
      <c r="J158" s="62">
        <v>1473.1493426522268</v>
      </c>
      <c r="K158" s="5" t="s">
        <v>217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238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236</v>
      </c>
      <c r="C161" s="11"/>
      <c r="D161" s="11"/>
      <c r="E161" s="11"/>
      <c r="F161" s="11"/>
      <c r="G161" s="11"/>
      <c r="H161" s="11"/>
      <c r="I161" s="10" t="s">
        <v>237</v>
      </c>
      <c r="J161" s="92">
        <v>119.99999999999999</v>
      </c>
      <c r="K161" s="93" t="s">
        <v>215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296</v>
      </c>
      <c r="C163" s="8"/>
      <c r="D163" s="8"/>
      <c r="E163" s="8"/>
      <c r="F163" s="8"/>
      <c r="G163" s="8"/>
      <c r="H163" s="8"/>
      <c r="I163" s="7" t="s">
        <v>295</v>
      </c>
      <c r="J163" s="64">
        <v>29.898097318306771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297</v>
      </c>
      <c r="C164" s="8"/>
      <c r="D164" s="8"/>
      <c r="E164" s="8"/>
      <c r="F164" s="8"/>
      <c r="G164" s="8"/>
      <c r="H164" s="8"/>
      <c r="I164" s="7" t="s">
        <v>298</v>
      </c>
      <c r="J164" s="148">
        <v>16761025.12543226</v>
      </c>
      <c r="K164" s="5" t="s">
        <v>287</v>
      </c>
      <c r="L164" s="3"/>
      <c r="U164" s="100"/>
    </row>
    <row r="165" spans="1:21" ht="20.100000000000001" customHeight="1">
      <c r="A165" s="9" t="s">
        <v>6</v>
      </c>
      <c r="B165" s="8" t="s">
        <v>224</v>
      </c>
      <c r="C165" s="8"/>
      <c r="D165" s="8"/>
      <c r="E165" s="8"/>
      <c r="F165" s="8"/>
      <c r="G165" s="8"/>
      <c r="H165" s="8"/>
      <c r="I165" s="7" t="s">
        <v>234</v>
      </c>
      <c r="J165" s="92">
        <v>7389.025921243192</v>
      </c>
      <c r="K165" s="5" t="s">
        <v>221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5.6401079936928618E-2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0.1328004597780299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350</v>
      </c>
      <c r="C168" s="58"/>
      <c r="D168" s="58"/>
      <c r="E168" s="58"/>
      <c r="F168" s="58"/>
      <c r="G168" s="58"/>
      <c r="H168" s="58"/>
      <c r="I168" s="59" t="s">
        <v>351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352</v>
      </c>
      <c r="J169" s="125">
        <v>-105.72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353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354</v>
      </c>
      <c r="J171" s="125">
        <v>-46.459309095208724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355</v>
      </c>
      <c r="J172" s="125">
        <v>-11.961043008629227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356</v>
      </c>
      <c r="J173" s="125">
        <v>3.6273425860876268E-3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357</v>
      </c>
      <c r="J174" s="125">
        <v>-46.415405004209653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358</v>
      </c>
      <c r="J175" s="63">
        <v>-11.948467230923042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397</v>
      </c>
      <c r="J176" s="4">
        <v>3.1480787347715591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 t="s">
        <v>416</v>
      </c>
      <c r="J177" s="4">
        <v>2.5</v>
      </c>
      <c r="K177" s="4"/>
      <c r="L177" s="3"/>
    </row>
    <row r="181" spans="1:12" ht="13.2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topLeftCell="D1" zoomScale="77" zoomScaleNormal="100" workbookViewId="0">
      <selection activeCell="G21" sqref="G21"/>
    </sheetView>
  </sheetViews>
  <sheetFormatPr baseColWidth="10"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1" spans="2:30">
      <c r="AB1" s="165">
        <v>1</v>
      </c>
      <c r="AC1" s="165">
        <v>2</v>
      </c>
      <c r="AD1" s="165">
        <v>3</v>
      </c>
    </row>
    <row r="2" spans="2:30">
      <c r="B2" s="117" t="s">
        <v>214</v>
      </c>
      <c r="N2" s="117" t="s">
        <v>281</v>
      </c>
    </row>
    <row r="3" spans="2:30">
      <c r="R3" s="117" t="s">
        <v>281</v>
      </c>
    </row>
    <row r="4" spans="2:30">
      <c r="B4" s="117" t="s">
        <v>280</v>
      </c>
      <c r="AB4" s="117" t="s">
        <v>384</v>
      </c>
    </row>
    <row r="6" spans="2:30" ht="13.8">
      <c r="R6" t="s">
        <v>360</v>
      </c>
      <c r="S6" s="156">
        <v>0</v>
      </c>
      <c r="T6" t="s">
        <v>361</v>
      </c>
      <c r="X6" s="117" t="s">
        <v>362</v>
      </c>
      <c r="AB6" s="166" t="s">
        <v>385</v>
      </c>
      <c r="AC6" s="108">
        <v>1</v>
      </c>
      <c r="AD6" t="s">
        <v>386</v>
      </c>
    </row>
    <row r="7" spans="2:30" ht="13.8">
      <c r="R7" t="s">
        <v>363</v>
      </c>
      <c r="S7" s="157">
        <v>1.5</v>
      </c>
      <c r="X7" s="158" t="s">
        <v>364</v>
      </c>
      <c r="Y7" s="110">
        <v>50</v>
      </c>
      <c r="AB7" s="166" t="s">
        <v>387</v>
      </c>
      <c r="AC7" s="108">
        <v>1.19</v>
      </c>
      <c r="AD7" t="s">
        <v>388</v>
      </c>
    </row>
    <row r="8" spans="2:30" ht="13.8">
      <c r="X8" s="158" t="s">
        <v>365</v>
      </c>
      <c r="Y8" s="110">
        <v>0.1</v>
      </c>
      <c r="AB8" s="166" t="s">
        <v>389</v>
      </c>
      <c r="AC8" s="108">
        <v>1.3</v>
      </c>
      <c r="AD8" t="s">
        <v>390</v>
      </c>
    </row>
    <row r="9" spans="2:30">
      <c r="X9" s="158" t="s">
        <v>366</v>
      </c>
      <c r="Y9" s="109">
        <v>0.95408705132867211</v>
      </c>
    </row>
    <row r="10" spans="2:30">
      <c r="R10" s="117" t="s">
        <v>367</v>
      </c>
      <c r="X10" s="158" t="s">
        <v>368</v>
      </c>
      <c r="Y10" s="109">
        <v>43.367593242212365</v>
      </c>
      <c r="Z10" t="s">
        <v>369</v>
      </c>
    </row>
    <row r="11" spans="2:30">
      <c r="R11" s="159" t="s">
        <v>370</v>
      </c>
      <c r="T11" s="160" t="s">
        <v>398</v>
      </c>
      <c r="U11" s="104">
        <v>150</v>
      </c>
      <c r="V11" s="160" t="s">
        <v>8</v>
      </c>
      <c r="X11" s="158" t="s">
        <v>371</v>
      </c>
      <c r="Y11" s="110">
        <v>3</v>
      </c>
    </row>
    <row r="12" spans="2:30">
      <c r="R12" s="161" t="s">
        <v>372</v>
      </c>
      <c r="T12" s="162" t="s">
        <v>399</v>
      </c>
      <c r="U12" s="104">
        <v>90</v>
      </c>
      <c r="V12" s="162" t="s">
        <v>8</v>
      </c>
      <c r="X12" s="158" t="s">
        <v>373</v>
      </c>
      <c r="Y12" s="110">
        <v>5</v>
      </c>
      <c r="AB12" s="117" t="s">
        <v>391</v>
      </c>
    </row>
    <row r="13" spans="2:30">
      <c r="X13" s="158" t="s">
        <v>374</v>
      </c>
      <c r="Y13" s="110">
        <v>2000000</v>
      </c>
    </row>
    <row r="14" spans="2:30" ht="13.8">
      <c r="R14" s="159" t="s">
        <v>375</v>
      </c>
      <c r="T14" s="160" t="s">
        <v>400</v>
      </c>
      <c r="U14" s="163">
        <v>44.752499999999998</v>
      </c>
      <c r="V14" s="160" t="s">
        <v>8</v>
      </c>
      <c r="X14" s="158" t="s">
        <v>376</v>
      </c>
      <c r="Y14" s="109">
        <v>43.367593242212365</v>
      </c>
      <c r="AB14" s="167" t="s">
        <v>392</v>
      </c>
      <c r="AC14" s="167" t="s">
        <v>393</v>
      </c>
      <c r="AD14" s="167" t="s">
        <v>394</v>
      </c>
    </row>
    <row r="15" spans="2:30" ht="13.8">
      <c r="R15" s="159" t="s">
        <v>377</v>
      </c>
      <c r="T15" s="160" t="s">
        <v>401</v>
      </c>
      <c r="U15" s="163">
        <v>44.752499999999998</v>
      </c>
      <c r="V15" s="160" t="s">
        <v>8</v>
      </c>
      <c r="X15" s="158" t="s">
        <v>378</v>
      </c>
      <c r="Y15" s="109">
        <v>1</v>
      </c>
      <c r="AB15" s="168" t="s">
        <v>395</v>
      </c>
      <c r="AC15" s="168" t="s">
        <v>395</v>
      </c>
      <c r="AD15" s="168" t="s">
        <v>123</v>
      </c>
    </row>
    <row r="16" spans="2:30">
      <c r="R16" s="159" t="s">
        <v>379</v>
      </c>
      <c r="T16" s="160" t="s">
        <v>402</v>
      </c>
      <c r="U16" s="163">
        <v>41.865812163333331</v>
      </c>
      <c r="V16" s="160" t="s">
        <v>8</v>
      </c>
      <c r="X16" s="158" t="s">
        <v>380</v>
      </c>
      <c r="Y16" s="109">
        <v>1.1000000000000001</v>
      </c>
      <c r="AB16" s="169">
        <v>0.1330700007</v>
      </c>
      <c r="AC16" s="169">
        <v>-451839.7</v>
      </c>
      <c r="AD16" s="170">
        <v>0.1</v>
      </c>
    </row>
    <row r="17" spans="2:30">
      <c r="X17" s="158" t="s">
        <v>381</v>
      </c>
      <c r="Y17" s="109">
        <v>0.60099999999999998</v>
      </c>
      <c r="AB17" s="169">
        <v>0.1330700007</v>
      </c>
      <c r="AC17" s="169">
        <v>-366581.8</v>
      </c>
      <c r="AD17" s="170">
        <v>3088.54</v>
      </c>
    </row>
    <row r="18" spans="2:30">
      <c r="G18" s="171"/>
      <c r="H18" s="172"/>
      <c r="R18" s="159" t="s">
        <v>382</v>
      </c>
      <c r="T18" s="160" t="s">
        <v>383</v>
      </c>
      <c r="U18" s="164">
        <v>1473.1579837133568</v>
      </c>
      <c r="V18" s="160" t="s">
        <v>217</v>
      </c>
      <c r="AB18" s="169">
        <v>55255.900699999998</v>
      </c>
      <c r="AC18" s="169">
        <v>-366581.8</v>
      </c>
      <c r="AD18" s="170">
        <v>0.01</v>
      </c>
    </row>
    <row r="19" spans="2:30">
      <c r="AB19" s="169">
        <v>0.1330700007</v>
      </c>
      <c r="AC19" s="169">
        <v>-345267</v>
      </c>
      <c r="AD19" s="170">
        <v>151494</v>
      </c>
    </row>
    <row r="20" spans="2:30" ht="13.8">
      <c r="G20" s="134" t="s">
        <v>288</v>
      </c>
      <c r="AB20" s="169">
        <v>27628.027699999999</v>
      </c>
      <c r="AC20" s="169">
        <v>-345267</v>
      </c>
      <c r="AD20" s="170">
        <v>465.63499999999999</v>
      </c>
    </row>
    <row r="21" spans="2:30" ht="18">
      <c r="G21" s="135">
        <v>30</v>
      </c>
      <c r="AB21" s="169">
        <v>82883.619000000006</v>
      </c>
      <c r="AC21" s="169">
        <v>-345267</v>
      </c>
      <c r="AD21" s="170">
        <v>0.15</v>
      </c>
    </row>
    <row r="22" spans="2:30">
      <c r="G22" s="136">
        <f>MATCH(gap_angle,N48:Q48,0)</f>
        <v>1</v>
      </c>
      <c r="AB22" s="169">
        <v>0.1330700007</v>
      </c>
      <c r="AC22" s="169">
        <v>-323952.2</v>
      </c>
      <c r="AD22" s="170">
        <v>1061100</v>
      </c>
    </row>
    <row r="23" spans="2:30">
      <c r="G23" s="136" t="str">
        <f>"Gap"&amp;gap_angle&amp;"deg"</f>
        <v>Gap30deg</v>
      </c>
      <c r="AB23" s="169">
        <v>27628.027699999999</v>
      </c>
      <c r="AC23" s="169">
        <v>-323952.2</v>
      </c>
      <c r="AD23" s="170">
        <v>18961.5</v>
      </c>
    </row>
    <row r="24" spans="2:30">
      <c r="AB24" s="169">
        <v>55255.900699999998</v>
      </c>
      <c r="AC24" s="169">
        <v>-323952.2</v>
      </c>
      <c r="AD24" s="170">
        <v>13854.8</v>
      </c>
    </row>
    <row r="25" spans="2:30">
      <c r="AB25" s="169">
        <v>82883.619000000006</v>
      </c>
      <c r="AC25" s="169">
        <v>-323952.2</v>
      </c>
      <c r="AD25" s="170">
        <v>5176.3900000000003</v>
      </c>
    </row>
    <row r="26" spans="2:30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347</v>
      </c>
      <c r="G26" s="116" t="s">
        <v>219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279</v>
      </c>
      <c r="O26" s="116" t="s">
        <v>278</v>
      </c>
      <c r="P26" s="116" t="s">
        <v>277</v>
      </c>
      <c r="Q26" s="116" t="s">
        <v>276</v>
      </c>
      <c r="AB26" s="169">
        <v>110511.492</v>
      </c>
      <c r="AC26" s="169">
        <v>-323952.2</v>
      </c>
      <c r="AD26" s="170">
        <v>730.55499999999995</v>
      </c>
    </row>
    <row r="27" spans="2:30" ht="15.6">
      <c r="B27" s="106">
        <v>1</v>
      </c>
      <c r="C27" s="103" t="s">
        <v>197</v>
      </c>
      <c r="E27" s="104"/>
      <c r="F27" s="107" t="s">
        <v>86</v>
      </c>
      <c r="G27" s="104"/>
      <c r="H27" t="s">
        <v>209</v>
      </c>
      <c r="I27" s="138"/>
      <c r="K27" s="106">
        <f>D27</f>
        <v>0</v>
      </c>
      <c r="L27" s="103" t="s">
        <v>197</v>
      </c>
      <c r="N27" s="104"/>
      <c r="O27" s="104"/>
      <c r="P27" s="104"/>
      <c r="Q27" s="104"/>
      <c r="R27" t="s">
        <v>209</v>
      </c>
      <c r="AB27" s="169">
        <v>138139.36499999999</v>
      </c>
      <c r="AC27" s="169">
        <v>-323952.2</v>
      </c>
      <c r="AD27" s="170">
        <v>580.76499999999999</v>
      </c>
    </row>
    <row r="28" spans="2:30" ht="15.6">
      <c r="B28" s="106">
        <f>B27+1</f>
        <v>2</v>
      </c>
      <c r="C28" s="105" t="s">
        <v>208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207</v>
      </c>
      <c r="I28" s="139"/>
      <c r="K28" s="106">
        <f>K27+1</f>
        <v>1</v>
      </c>
      <c r="L28" s="105" t="s">
        <v>208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207</v>
      </c>
      <c r="AB28" s="169">
        <v>0.1330700007</v>
      </c>
      <c r="AC28" s="169">
        <v>-302637.40000000002</v>
      </c>
      <c r="AD28" s="170">
        <v>3348000</v>
      </c>
    </row>
    <row r="29" spans="2:30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">
        <v>204</v>
      </c>
      <c r="AB29" s="169">
        <v>27628.027699999999</v>
      </c>
      <c r="AC29" s="169">
        <v>-302637.40000000002</v>
      </c>
      <c r="AD29" s="170">
        <v>232543</v>
      </c>
    </row>
    <row r="30" spans="2:30" ht="15.6">
      <c r="B30" s="106"/>
      <c r="C30" s="105" t="s">
        <v>203</v>
      </c>
      <c r="D30" s="103" t="s">
        <v>143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203</v>
      </c>
      <c r="M30" s="103" t="s">
        <v>143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403</v>
      </c>
      <c r="AB30" s="169">
        <v>55255.900699999998</v>
      </c>
      <c r="AC30" s="169">
        <v>-302637.40000000002</v>
      </c>
      <c r="AD30" s="170">
        <v>235453</v>
      </c>
    </row>
    <row r="31" spans="2:30" ht="15.6">
      <c r="B31" s="106">
        <f>B28+1</f>
        <v>3</v>
      </c>
      <c r="C31" s="103" t="s">
        <v>197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202</v>
      </c>
      <c r="I31" s="138"/>
      <c r="K31" s="106">
        <f>K28+1</f>
        <v>2</v>
      </c>
      <c r="L31" s="103" t="s">
        <v>197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202</v>
      </c>
      <c r="AB31" s="169">
        <v>82883.619000000006</v>
      </c>
      <c r="AC31" s="169">
        <v>-302637.40000000002</v>
      </c>
      <c r="AD31" s="170">
        <v>111586</v>
      </c>
    </row>
    <row r="32" spans="2:30" ht="15.6">
      <c r="B32" s="106"/>
      <c r="C32" s="103" t="s">
        <v>201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201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404</v>
      </c>
      <c r="AB32" s="169">
        <v>110511.492</v>
      </c>
      <c r="AC32" s="169">
        <v>-302637.40000000002</v>
      </c>
      <c r="AD32" s="170">
        <v>40517.300000000003</v>
      </c>
    </row>
    <row r="33" spans="2:30" ht="15.6">
      <c r="B33" s="106"/>
      <c r="C33" s="103" t="s">
        <v>200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200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405</v>
      </c>
      <c r="AB33" s="169">
        <v>138139.36499999999</v>
      </c>
      <c r="AC33" s="169">
        <v>-302637.40000000002</v>
      </c>
      <c r="AD33" s="170">
        <v>7179.93</v>
      </c>
    </row>
    <row r="34" spans="2:30" ht="15.6">
      <c r="B34" s="106"/>
      <c r="C34" s="103" t="s">
        <v>199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198</v>
      </c>
      <c r="I34" s="138"/>
      <c r="K34" s="106"/>
      <c r="L34" s="103" t="s">
        <v>199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406</v>
      </c>
      <c r="AB34" s="169">
        <v>165767.23800000001</v>
      </c>
      <c r="AC34" s="169">
        <v>-302637.40000000002</v>
      </c>
      <c r="AD34" s="170">
        <v>1227.22</v>
      </c>
    </row>
    <row r="35" spans="2:30" ht="15.6">
      <c r="B35" s="131">
        <f>B31+1</f>
        <v>4</v>
      </c>
      <c r="C35" s="130" t="s">
        <v>275</v>
      </c>
      <c r="D35" s="130" t="s">
        <v>128</v>
      </c>
      <c r="E35" s="129" cm="1">
        <f t="array" ref="E35">INDEX(N35:Q35,case_number)</f>
        <v>0</v>
      </c>
      <c r="F35" s="129" t="s">
        <v>86</v>
      </c>
      <c r="G35" s="129"/>
      <c r="H35" s="132" t="s">
        <v>196</v>
      </c>
      <c r="I35" s="140"/>
      <c r="J35" s="132"/>
      <c r="K35" s="131">
        <f>K31+1</f>
        <v>3</v>
      </c>
      <c r="L35" s="130" t="s">
        <v>275</v>
      </c>
      <c r="M35" s="130" t="s">
        <v>128</v>
      </c>
      <c r="N35" s="129">
        <v>0</v>
      </c>
      <c r="O35" s="129">
        <v>0</v>
      </c>
      <c r="P35" s="129">
        <v>0</v>
      </c>
      <c r="Q35" s="129">
        <v>0</v>
      </c>
      <c r="R35" t="s">
        <v>407</v>
      </c>
      <c r="AB35" s="169">
        <v>193395.111</v>
      </c>
      <c r="AC35" s="169">
        <v>-302637.40000000002</v>
      </c>
      <c r="AD35" s="170">
        <v>435.755</v>
      </c>
    </row>
    <row r="36" spans="2:30" ht="15.6">
      <c r="B36" s="106"/>
      <c r="C36" s="105" t="s">
        <v>195</v>
      </c>
      <c r="D36" s="103" t="s">
        <v>274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195</v>
      </c>
      <c r="M36" s="103" t="s">
        <v>274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408</v>
      </c>
      <c r="AB36" s="169">
        <v>221022.984</v>
      </c>
      <c r="AC36" s="169">
        <v>-302637.40000000002</v>
      </c>
      <c r="AD36" s="170">
        <v>10.865</v>
      </c>
    </row>
    <row r="37" spans="2:30" ht="15.6">
      <c r="B37" s="106"/>
      <c r="C37" s="105" t="s">
        <v>194</v>
      </c>
      <c r="D37" s="103" t="s">
        <v>274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194</v>
      </c>
      <c r="M37" s="103" t="s">
        <v>274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408</v>
      </c>
      <c r="AB37" s="169">
        <v>0.1330700007</v>
      </c>
      <c r="AC37" s="169">
        <v>-281322.59999999998</v>
      </c>
      <c r="AD37" s="170">
        <v>5872260</v>
      </c>
    </row>
    <row r="38" spans="2:30">
      <c r="B38" s="106"/>
      <c r="C38" s="105" t="s">
        <v>193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193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408</v>
      </c>
      <c r="AB38" s="169">
        <v>27628.027699999999</v>
      </c>
      <c r="AC38" s="169">
        <v>-281322.59999999998</v>
      </c>
      <c r="AD38" s="170">
        <v>316034</v>
      </c>
    </row>
    <row r="39" spans="2:30" ht="15.6">
      <c r="B39" s="106">
        <f>B35+1</f>
        <v>5</v>
      </c>
      <c r="C39" s="105" t="s">
        <v>192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f>K35+1</f>
        <v>4</v>
      </c>
      <c r="L39" s="105" t="s">
        <v>192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408</v>
      </c>
      <c r="AB39" s="169">
        <v>55255.900699999998</v>
      </c>
      <c r="AC39" s="169">
        <v>-281322.59999999998</v>
      </c>
      <c r="AD39" s="170">
        <v>234412</v>
      </c>
    </row>
    <row r="40" spans="2:30" ht="15.6">
      <c r="B40" s="106"/>
      <c r="C40" s="105" t="s">
        <v>191</v>
      </c>
      <c r="D40" s="103" t="s">
        <v>273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191</v>
      </c>
      <c r="M40" s="103" t="s">
        <v>126</v>
      </c>
      <c r="N40" s="107">
        <v>500</v>
      </c>
      <c r="O40" s="107">
        <v>500</v>
      </c>
      <c r="P40" s="107">
        <v>500</v>
      </c>
      <c r="Q40" s="107">
        <v>500</v>
      </c>
      <c r="R40" t="s">
        <v>408</v>
      </c>
      <c r="AB40" s="169">
        <v>82883.619000000006</v>
      </c>
      <c r="AC40" s="169">
        <v>-281322.59999999998</v>
      </c>
      <c r="AD40" s="170">
        <v>95883.4</v>
      </c>
    </row>
    <row r="41" spans="2:30" ht="15.6">
      <c r="B41" s="106">
        <f>B39+1</f>
        <v>6</v>
      </c>
      <c r="C41" s="103" t="s">
        <v>190</v>
      </c>
      <c r="D41" s="103" t="s">
        <v>273</v>
      </c>
      <c r="E41" s="107" cm="1">
        <f t="array" ref="E41">INDEX(N41:Q41,case_number)</f>
        <v>33.30212829607494</v>
      </c>
      <c r="F41" s="107" t="s">
        <v>86</v>
      </c>
      <c r="G41" s="107"/>
      <c r="H41" t="s">
        <v>189</v>
      </c>
      <c r="I41" s="143"/>
      <c r="J41" s="142"/>
      <c r="K41" s="106">
        <f>K39+1</f>
        <v>5</v>
      </c>
      <c r="L41" s="103" t="s">
        <v>190</v>
      </c>
      <c r="M41" s="103" t="s">
        <v>126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409</v>
      </c>
      <c r="AB41" s="169">
        <v>110511.492</v>
      </c>
      <c r="AC41" s="169">
        <v>-281322.59999999998</v>
      </c>
      <c r="AD41" s="170">
        <v>39802.5</v>
      </c>
    </row>
    <row r="42" spans="2:30" ht="15.6">
      <c r="B42" s="106">
        <f>B41+1</f>
        <v>7</v>
      </c>
      <c r="C42" s="103" t="s">
        <v>188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f t="shared" ref="K42:K103" si="0">K41+1</f>
        <v>6</v>
      </c>
      <c r="L42" s="103" t="s">
        <v>188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408</v>
      </c>
      <c r="AB42" s="169">
        <v>138139.36499999999</v>
      </c>
      <c r="AC42" s="169">
        <v>-281322.59999999998</v>
      </c>
      <c r="AD42" s="170">
        <v>17664.900000000001</v>
      </c>
    </row>
    <row r="43" spans="2:30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694.92799349999996</v>
      </c>
      <c r="F43" s="107" t="s">
        <v>86</v>
      </c>
      <c r="G43" s="107"/>
      <c r="H43" t="s">
        <v>186</v>
      </c>
      <c r="I43" s="143"/>
      <c r="J43" s="142"/>
      <c r="K43" s="106">
        <f t="shared" si="0"/>
        <v>7</v>
      </c>
      <c r="L43" s="103" t="s">
        <v>187</v>
      </c>
      <c r="M43" s="103" t="s">
        <v>183</v>
      </c>
      <c r="N43" s="107">
        <v>694.92799349999996</v>
      </c>
      <c r="O43" s="107">
        <v>694.92799349999996</v>
      </c>
      <c r="P43" s="107">
        <v>694.92799349999996</v>
      </c>
      <c r="Q43" s="107">
        <v>694.92799349999996</v>
      </c>
      <c r="R43" t="s">
        <v>186</v>
      </c>
      <c r="AB43" s="169">
        <v>165767.23800000001</v>
      </c>
      <c r="AC43" s="169">
        <v>-281322.59999999998</v>
      </c>
      <c r="AD43" s="170">
        <v>7178.63</v>
      </c>
    </row>
    <row r="44" spans="2:30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686.46410949999995</v>
      </c>
      <c r="F44" s="107" t="s">
        <v>86</v>
      </c>
      <c r="G44" s="107"/>
      <c r="I44" s="143"/>
      <c r="J44" s="142"/>
      <c r="K44" s="106">
        <f t="shared" si="0"/>
        <v>8</v>
      </c>
      <c r="L44" s="103" t="s">
        <v>185</v>
      </c>
      <c r="M44" s="103" t="s">
        <v>183</v>
      </c>
      <c r="N44" s="107">
        <v>686.46410949999995</v>
      </c>
      <c r="O44" s="107">
        <v>686.46410949999995</v>
      </c>
      <c r="P44" s="107">
        <v>686.46410949999995</v>
      </c>
      <c r="Q44" s="107">
        <v>686.46410949999995</v>
      </c>
      <c r="R44" t="s">
        <v>408</v>
      </c>
      <c r="AB44" s="169">
        <v>193395.111</v>
      </c>
      <c r="AC44" s="169">
        <v>-281322.59999999998</v>
      </c>
      <c r="AD44" s="170">
        <v>3570.11</v>
      </c>
    </row>
    <row r="45" spans="2:30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-694.92799349999996</v>
      </c>
      <c r="F45" s="107" t="s">
        <v>86</v>
      </c>
      <c r="G45" s="107"/>
      <c r="I45" s="143"/>
      <c r="J45" s="142"/>
      <c r="K45" s="106">
        <f t="shared" si="0"/>
        <v>9</v>
      </c>
      <c r="L45" s="103" t="s">
        <v>184</v>
      </c>
      <c r="M45" s="103" t="s">
        <v>183</v>
      </c>
      <c r="N45" s="107">
        <v>-694.92799349999996</v>
      </c>
      <c r="O45" s="107">
        <v>-694.92799349999996</v>
      </c>
      <c r="P45" s="107">
        <v>-694.92799349999996</v>
      </c>
      <c r="Q45" s="107">
        <v>-694.92799349999996</v>
      </c>
      <c r="R45" t="s">
        <v>408</v>
      </c>
      <c r="AB45" s="169">
        <v>221022.984</v>
      </c>
      <c r="AC45" s="169">
        <v>-281322.59999999998</v>
      </c>
      <c r="AD45" s="170">
        <v>317.21499999999997</v>
      </c>
    </row>
    <row r="46" spans="2:30" ht="15.6">
      <c r="B46" s="106"/>
      <c r="C46" s="103" t="s">
        <v>182</v>
      </c>
      <c r="D46" s="103" t="s">
        <v>128</v>
      </c>
      <c r="E46" s="111" cm="1">
        <f t="array" ref="E46">INDEX(N46:Q46,case_number)</f>
        <v>1746.7113300610752</v>
      </c>
      <c r="F46" s="111" t="s">
        <v>86</v>
      </c>
      <c r="G46" s="111"/>
      <c r="I46" s="143"/>
      <c r="J46" s="142"/>
      <c r="K46" s="106"/>
      <c r="L46" s="103" t="s">
        <v>182</v>
      </c>
      <c r="M46" s="103" t="s">
        <v>128</v>
      </c>
      <c r="N46" s="111">
        <v>1746.7113300610752</v>
      </c>
      <c r="O46" s="111">
        <v>1746.7113300610752</v>
      </c>
      <c r="P46" s="111">
        <v>1746.7113300610752</v>
      </c>
      <c r="Q46" s="111">
        <v>1746.7113300610752</v>
      </c>
      <c r="R46" t="s">
        <v>408</v>
      </c>
      <c r="AB46" s="169">
        <v>248650.85699999999</v>
      </c>
      <c r="AC46" s="169">
        <v>-281322.59999999998</v>
      </c>
      <c r="AD46" s="170">
        <v>56.325000000000003</v>
      </c>
    </row>
    <row r="47" spans="2:30" ht="15.6">
      <c r="B47" s="106">
        <f>B45+1</f>
        <v>11</v>
      </c>
      <c r="C47" s="103" t="s">
        <v>181</v>
      </c>
      <c r="D47" s="103" t="s">
        <v>123</v>
      </c>
      <c r="E47" s="104"/>
      <c r="F47" s="110" t="s">
        <v>86</v>
      </c>
      <c r="G47" s="104"/>
      <c r="H47" t="s">
        <v>307</v>
      </c>
      <c r="I47" s="143"/>
      <c r="J47" s="142"/>
      <c r="K47" s="106">
        <f>K45+1</f>
        <v>10</v>
      </c>
      <c r="L47" s="103" t="s">
        <v>181</v>
      </c>
      <c r="M47" s="103" t="s">
        <v>123</v>
      </c>
      <c r="N47" s="104"/>
      <c r="O47" s="104"/>
      <c r="P47" s="104"/>
      <c r="Q47" s="104"/>
      <c r="R47" t="s">
        <v>307</v>
      </c>
      <c r="AB47" s="169">
        <v>0.1330700007</v>
      </c>
      <c r="AC47" s="169">
        <v>-260007.8</v>
      </c>
      <c r="AD47" s="170">
        <v>9471380</v>
      </c>
    </row>
    <row r="48" spans="2:30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06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">
        <v>408</v>
      </c>
      <c r="AB48" s="169">
        <v>27628.027699999999</v>
      </c>
      <c r="AC48" s="169">
        <v>-260007.8</v>
      </c>
      <c r="AD48" s="170">
        <v>675005</v>
      </c>
    </row>
    <row r="49" spans="2:30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320</v>
      </c>
      <c r="I49" s="143"/>
      <c r="J49" s="142"/>
      <c r="K49" s="106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320</v>
      </c>
      <c r="AB49" s="169">
        <v>55255.900699999998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3"/>
      <c r="J50" s="142"/>
      <c r="K50" s="106"/>
      <c r="L50" s="103" t="s">
        <v>93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">
        <v>408</v>
      </c>
      <c r="AB50" s="169">
        <v>82883.619000000006</v>
      </c>
      <c r="AC50" s="169">
        <v>-260007.8</v>
      </c>
      <c r="AD50" s="170">
        <v>198094</v>
      </c>
    </row>
    <row r="51" spans="2:30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3"/>
      <c r="J51" s="142"/>
      <c r="K51" s="106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">
        <v>408</v>
      </c>
      <c r="AB51" s="169">
        <v>110511.492</v>
      </c>
      <c r="AC51" s="169">
        <v>-260007.8</v>
      </c>
      <c r="AD51" s="170">
        <v>50147</v>
      </c>
    </row>
    <row r="52" spans="2:30" ht="15.6">
      <c r="B52" s="106">
        <f>B47+1</f>
        <v>12</v>
      </c>
      <c r="C52" s="103" t="s">
        <v>175</v>
      </c>
      <c r="D52" s="103" t="s">
        <v>126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3"/>
      <c r="J52" s="142"/>
      <c r="K52" s="106">
        <f>K47+1</f>
        <v>11</v>
      </c>
      <c r="L52" s="103" t="s">
        <v>175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408</v>
      </c>
      <c r="AB52" s="169">
        <v>138139.36499999999</v>
      </c>
      <c r="AC52" s="169">
        <v>-260007.8</v>
      </c>
      <c r="AD52" s="170">
        <v>19212.400000000001</v>
      </c>
    </row>
    <row r="53" spans="2:30" ht="15.6">
      <c r="B53" s="106">
        <f>B52+1</f>
        <v>13</v>
      </c>
      <c r="C53" s="103" t="s">
        <v>174</v>
      </c>
      <c r="D53" s="103" t="s">
        <v>123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3"/>
      <c r="J53" s="142"/>
      <c r="K53" s="106">
        <f t="shared" si="0"/>
        <v>12</v>
      </c>
      <c r="L53" s="103" t="s">
        <v>174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408</v>
      </c>
      <c r="AB53" s="169">
        <v>165767.23800000001</v>
      </c>
      <c r="AC53" s="169">
        <v>-260007.8</v>
      </c>
      <c r="AD53" s="170">
        <v>11170.4</v>
      </c>
    </row>
    <row r="54" spans="2:30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408</v>
      </c>
      <c r="AB54" s="169">
        <v>193395.111</v>
      </c>
      <c r="AC54" s="169">
        <v>-260007.8</v>
      </c>
      <c r="AD54" s="170">
        <v>6492.5</v>
      </c>
    </row>
    <row r="55" spans="2:30" ht="15.6">
      <c r="B55" s="106">
        <f>B53+1</f>
        <v>14</v>
      </c>
      <c r="C55" s="103" t="s">
        <v>171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f>K53+1</f>
        <v>13</v>
      </c>
      <c r="L55" s="103" t="s">
        <v>171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408</v>
      </c>
      <c r="AB55" s="169">
        <v>221022.984</v>
      </c>
      <c r="AC55" s="169">
        <v>-260007.8</v>
      </c>
      <c r="AD55" s="170">
        <v>2061.4299999999998</v>
      </c>
    </row>
    <row r="56" spans="2:30" ht="15.6">
      <c r="B56" s="106">
        <f>B55+1</f>
        <v>15</v>
      </c>
      <c r="C56" s="103" t="s">
        <v>170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f t="shared" si="0"/>
        <v>14</v>
      </c>
      <c r="L56" s="103" t="s">
        <v>170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408</v>
      </c>
      <c r="AB56" s="169">
        <v>248650.85699999999</v>
      </c>
      <c r="AC56" s="169">
        <v>-260007.8</v>
      </c>
      <c r="AD56" s="170">
        <v>1137.06</v>
      </c>
    </row>
    <row r="57" spans="2:30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86</v>
      </c>
      <c r="G57" s="109"/>
      <c r="I57" s="141"/>
      <c r="J57" s="142"/>
      <c r="K57" s="106">
        <f t="shared" si="0"/>
        <v>15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408</v>
      </c>
      <c r="AB57" s="169">
        <v>276278.73</v>
      </c>
      <c r="AC57" s="169">
        <v>-260007.8</v>
      </c>
      <c r="AD57" s="170">
        <v>22.55</v>
      </c>
    </row>
    <row r="58" spans="2:30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86</v>
      </c>
      <c r="G58" s="109"/>
      <c r="I58" s="141"/>
      <c r="J58" s="142"/>
      <c r="K58" s="106">
        <f t="shared" si="0"/>
        <v>16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408</v>
      </c>
      <c r="AB58" s="169">
        <v>0.1330700007</v>
      </c>
      <c r="AC58" s="169">
        <v>-238693</v>
      </c>
      <c r="AD58" s="170">
        <v>11580800</v>
      </c>
    </row>
    <row r="59" spans="2:30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86</v>
      </c>
      <c r="G59" s="109"/>
      <c r="I59" s="143"/>
      <c r="J59" s="142"/>
      <c r="K59" s="106">
        <f t="shared" si="0"/>
        <v>17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408</v>
      </c>
      <c r="AB59" s="169">
        <v>27628.027699999999</v>
      </c>
      <c r="AC59" s="169">
        <v>-238693</v>
      </c>
      <c r="AD59" s="170">
        <v>846889</v>
      </c>
    </row>
    <row r="60" spans="2:30" ht="15.6">
      <c r="B60" s="106">
        <f>B59+1</f>
        <v>19</v>
      </c>
      <c r="C60" s="103" t="s">
        <v>166</v>
      </c>
      <c r="D60" s="103" t="s">
        <v>126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3"/>
      <c r="J60" s="142"/>
      <c r="K60" s="106">
        <f t="shared" si="0"/>
        <v>18</v>
      </c>
      <c r="L60" s="103" t="s">
        <v>166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408</v>
      </c>
      <c r="AB60" s="169">
        <v>55255.900699999998</v>
      </c>
      <c r="AC60" s="169">
        <v>-238693</v>
      </c>
      <c r="AD60" s="170">
        <v>627169</v>
      </c>
    </row>
    <row r="61" spans="2:30" ht="15.6">
      <c r="B61" s="106"/>
      <c r="C61" s="103" t="s">
        <v>165</v>
      </c>
      <c r="D61" s="103" t="s">
        <v>126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3"/>
      <c r="J61" s="142"/>
      <c r="K61" s="106"/>
      <c r="L61" s="103" t="s">
        <v>165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164</v>
      </c>
      <c r="AB61" s="169">
        <v>82883.619000000006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3"/>
      <c r="J62" s="142"/>
      <c r="K62" s="106">
        <f>K60+1</f>
        <v>19</v>
      </c>
      <c r="L62" s="103" t="s">
        <v>163</v>
      </c>
      <c r="M62" s="103"/>
      <c r="N62" s="128"/>
      <c r="O62" s="128"/>
      <c r="P62" s="128"/>
      <c r="Q62" s="128"/>
      <c r="R62" t="s">
        <v>162</v>
      </c>
      <c r="AB62" s="169">
        <v>110511.492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4"/>
      <c r="J63" s="142"/>
      <c r="K63" s="106">
        <f t="shared" si="0"/>
        <v>20</v>
      </c>
      <c r="L63" s="112" t="s">
        <v>161</v>
      </c>
      <c r="M63" s="103"/>
      <c r="N63" s="128"/>
      <c r="O63" s="128"/>
      <c r="P63" s="128"/>
      <c r="Q63" s="128"/>
      <c r="R63" t="s">
        <v>160</v>
      </c>
      <c r="AB63" s="169">
        <v>138139.36499999999</v>
      </c>
      <c r="AC63" s="169">
        <v>-238693</v>
      </c>
      <c r="AD63" s="170">
        <v>29240.7</v>
      </c>
    </row>
    <row r="64" spans="2:30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3"/>
      <c r="J64" s="142"/>
      <c r="K64" s="106">
        <f t="shared" si="0"/>
        <v>21</v>
      </c>
      <c r="L64" s="103" t="s">
        <v>159</v>
      </c>
      <c r="M64" s="103"/>
      <c r="N64" s="104"/>
      <c r="O64" s="104"/>
      <c r="P64" s="104"/>
      <c r="Q64" s="104"/>
      <c r="R64" t="s">
        <v>408</v>
      </c>
      <c r="AB64" s="169">
        <v>165767.23800000001</v>
      </c>
      <c r="AC64" s="169">
        <v>-238693</v>
      </c>
      <c r="AD64" s="170">
        <v>11043.4</v>
      </c>
    </row>
    <row r="65" spans="2:30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3"/>
      <c r="J65" s="142"/>
      <c r="K65" s="106">
        <f t="shared" si="0"/>
        <v>22</v>
      </c>
      <c r="L65" s="103" t="s">
        <v>158</v>
      </c>
      <c r="M65" s="103"/>
      <c r="N65" s="104"/>
      <c r="O65" s="104"/>
      <c r="P65" s="104"/>
      <c r="Q65" s="104"/>
      <c r="R65" t="s">
        <v>408</v>
      </c>
      <c r="AB65" s="169">
        <v>193395.111</v>
      </c>
      <c r="AC65" s="169">
        <v>-238693</v>
      </c>
      <c r="AD65" s="170">
        <v>6030.38</v>
      </c>
    </row>
    <row r="66" spans="2:30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3"/>
      <c r="J66" s="142"/>
      <c r="K66" s="106">
        <f t="shared" si="0"/>
        <v>23</v>
      </c>
      <c r="L66" s="103" t="s">
        <v>157</v>
      </c>
      <c r="M66" s="103"/>
      <c r="N66" s="128"/>
      <c r="O66" s="128"/>
      <c r="P66" s="128"/>
      <c r="Q66" s="128"/>
      <c r="R66" t="s">
        <v>156</v>
      </c>
      <c r="AB66" s="169">
        <v>221022.984</v>
      </c>
      <c r="AC66" s="169">
        <v>-238693</v>
      </c>
      <c r="AD66" s="170">
        <v>1930.07</v>
      </c>
    </row>
    <row r="67" spans="2:30" ht="15.6">
      <c r="B67" s="106"/>
      <c r="C67" s="103" t="s">
        <v>319</v>
      </c>
      <c r="D67" s="103" t="s">
        <v>128</v>
      </c>
      <c r="E67" s="109" cm="1">
        <f t="array" ref="E67">INDEX(N67:Q67,case_number)</f>
        <v>-105.82</v>
      </c>
      <c r="F67" s="109" cm="1">
        <f t="array" aca="1" ref="F67" ca="1">INDIRECT(sheet_name&amp;"!Point1.Z")</f>
        <v>-105.82</v>
      </c>
      <c r="G67" s="118">
        <f t="shared" ref="G67" ca="1" si="3">(F67-E67)/E67</f>
        <v>0</v>
      </c>
      <c r="K67" s="106"/>
      <c r="L67" s="103" t="s">
        <v>319</v>
      </c>
      <c r="M67" s="103" t="s">
        <v>128</v>
      </c>
      <c r="N67" s="109">
        <v>-105.82</v>
      </c>
      <c r="O67" s="109">
        <v>-105.82</v>
      </c>
      <c r="P67" s="109">
        <v>-105.82</v>
      </c>
      <c r="Q67" s="109">
        <v>-105.82</v>
      </c>
      <c r="AB67" s="169">
        <v>248650.85699999999</v>
      </c>
      <c r="AC67" s="169">
        <v>-238693</v>
      </c>
      <c r="AD67" s="170">
        <v>362.6</v>
      </c>
    </row>
    <row r="68" spans="2:30" ht="15.6">
      <c r="B68" s="106"/>
      <c r="C68" s="103" t="s">
        <v>318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4">(F68-E68)/E68</f>
        <v>0</v>
      </c>
      <c r="K68" s="106"/>
      <c r="L68" s="103" t="s">
        <v>318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276278.73</v>
      </c>
      <c r="AC68" s="169">
        <v>-238693</v>
      </c>
      <c r="AD68" s="170">
        <v>56.27</v>
      </c>
    </row>
    <row r="69" spans="2:30" ht="15.6">
      <c r="B69" s="106"/>
      <c r="C69" s="103" t="s">
        <v>317</v>
      </c>
      <c r="D69" s="103" t="s">
        <v>128</v>
      </c>
      <c r="E69" s="108" cm="1">
        <f t="array" ref="E69">INDEX(N69:Q69,case_number)</f>
        <v>1633.4579381406527</v>
      </c>
      <c r="F69" s="108" cm="1">
        <f t="array" aca="1" ref="F69" ca="1">INDIRECT(sheet_name&amp;"!Point2.Z")</f>
        <v>1633.4590503444072</v>
      </c>
      <c r="G69" s="118">
        <f t="shared" ca="1" si="4"/>
        <v>6.8088913004992886E-7</v>
      </c>
      <c r="K69" s="106"/>
      <c r="L69" s="103" t="s">
        <v>317</v>
      </c>
      <c r="M69" s="103" t="s">
        <v>128</v>
      </c>
      <c r="N69" s="109">
        <v>1633.4579381406527</v>
      </c>
      <c r="O69" s="109">
        <v>1569.695838574949</v>
      </c>
      <c r="P69" s="109">
        <v>1491.1410949661347</v>
      </c>
      <c r="Q69" s="109">
        <v>1497.580420230202</v>
      </c>
      <c r="AB69" s="169">
        <v>359162.34899999999</v>
      </c>
      <c r="AC69" s="169">
        <v>-238693</v>
      </c>
      <c r="AD69" s="170">
        <v>10.865</v>
      </c>
    </row>
    <row r="70" spans="2:30" ht="15.6">
      <c r="B70" s="106"/>
      <c r="C70" s="103" t="s">
        <v>316</v>
      </c>
      <c r="D70" s="103" t="s">
        <v>128</v>
      </c>
      <c r="E70" s="107" cm="1">
        <f t="array" ref="E70">INDEX(N70:Q70,case_number)</f>
        <v>1276</v>
      </c>
      <c r="F70" s="107" cm="1">
        <f t="array" aca="1" ref="F70" ca="1">INDIRECT(sheet_name&amp;"!Point2.Fs")</f>
        <v>1276</v>
      </c>
      <c r="G70" s="118">
        <f t="shared" ca="1" si="4"/>
        <v>0</v>
      </c>
      <c r="K70" s="106"/>
      <c r="L70" s="103" t="s">
        <v>316</v>
      </c>
      <c r="M70" s="103" t="s">
        <v>128</v>
      </c>
      <c r="N70" s="109">
        <v>1276</v>
      </c>
      <c r="O70" s="109">
        <v>1276</v>
      </c>
      <c r="P70" s="109">
        <v>1276</v>
      </c>
      <c r="Q70" s="109">
        <v>1276</v>
      </c>
      <c r="AB70" s="169">
        <v>0.1330700007</v>
      </c>
      <c r="AC70" s="169">
        <v>-217378.2</v>
      </c>
      <c r="AD70" s="170">
        <v>11103500</v>
      </c>
    </row>
    <row r="71" spans="2:30" ht="15.6">
      <c r="B71" s="106"/>
      <c r="C71" s="103" t="s">
        <v>315</v>
      </c>
      <c r="D71" s="103" t="s">
        <v>128</v>
      </c>
      <c r="E71" s="107" cm="1">
        <f t="array" ref="E71">INDEX(N71:Q71,case_number)</f>
        <v>121.86413755978657</v>
      </c>
      <c r="F71" s="107" cm="1">
        <f t="array" aca="1" ref="F71" ca="1">INDIRECT(sheet_name&amp;"!Point3.Z")</f>
        <v>121.86421587998476</v>
      </c>
      <c r="G71" s="118">
        <f t="shared" ca="1" si="4"/>
        <v>6.4268454816111971E-7</v>
      </c>
      <c r="K71" s="106"/>
      <c r="L71" s="103" t="s">
        <v>315</v>
      </c>
      <c r="M71" s="103" t="s">
        <v>128</v>
      </c>
      <c r="N71" s="109">
        <v>121.86413755978657</v>
      </c>
      <c r="O71" s="109">
        <v>119.2407862158138</v>
      </c>
      <c r="P71" s="109">
        <v>118.26208963625672</v>
      </c>
      <c r="Q71" s="109">
        <v>117.46257337766376</v>
      </c>
      <c r="AB71" s="169">
        <v>27628.027699999999</v>
      </c>
      <c r="AC71" s="169">
        <v>-217378.2</v>
      </c>
      <c r="AD71" s="170">
        <v>710137</v>
      </c>
    </row>
    <row r="72" spans="2:30" ht="15.6">
      <c r="B72" s="106"/>
      <c r="C72" s="103" t="s">
        <v>314</v>
      </c>
      <c r="D72" s="103" t="s">
        <v>128</v>
      </c>
      <c r="E72" s="107" cm="1">
        <f t="array" ref="E72">INDEX(N72:Q72,case_number)</f>
        <v>944.31609162241875</v>
      </c>
      <c r="F72" s="107" cm="1">
        <f t="array" aca="1" ref="F72" ca="1">INDIRECT(sheet_name&amp;"!Point3.Fs")</f>
        <v>944.31590361981341</v>
      </c>
      <c r="G72" s="118">
        <f t="shared" ca="1" si="4"/>
        <v>-1.9908863886704283E-7</v>
      </c>
      <c r="K72" s="106"/>
      <c r="L72" s="103" t="s">
        <v>314</v>
      </c>
      <c r="M72" s="103" t="s">
        <v>128</v>
      </c>
      <c r="N72" s="109">
        <v>944.31609162241875</v>
      </c>
      <c r="O72" s="109">
        <v>944.71453737559148</v>
      </c>
      <c r="P72" s="109">
        <v>945.99371907164118</v>
      </c>
      <c r="Q72" s="109">
        <v>945.58834892885102</v>
      </c>
      <c r="AB72" s="169">
        <v>55255.900699999998</v>
      </c>
      <c r="AC72" s="169">
        <v>-217378.2</v>
      </c>
      <c r="AD72" s="170">
        <v>487653</v>
      </c>
    </row>
    <row r="73" spans="2:30" ht="15.6">
      <c r="B73" s="106"/>
      <c r="C73" s="103" t="s">
        <v>313</v>
      </c>
      <c r="D73" s="103"/>
      <c r="E73" s="107" cm="1">
        <f t="array" ref="E73">INDEX(N73:Q73,case_number)</f>
        <v>598600210.54525948</v>
      </c>
      <c r="F73" s="110" t="s">
        <v>86</v>
      </c>
      <c r="G73" s="110"/>
      <c r="K73" s="106"/>
      <c r="L73" s="103" t="s">
        <v>313</v>
      </c>
      <c r="M73" s="103"/>
      <c r="N73" s="110">
        <v>598600210.54525948</v>
      </c>
      <c r="O73" s="110">
        <v>546956319.34194791</v>
      </c>
      <c r="P73" s="110">
        <v>491285272.69120371</v>
      </c>
      <c r="Q73" s="110">
        <v>494097883.85104239</v>
      </c>
      <c r="AB73" s="169">
        <v>82883.619000000006</v>
      </c>
      <c r="AC73" s="169">
        <v>-217378.2</v>
      </c>
      <c r="AD73" s="170">
        <v>200482</v>
      </c>
    </row>
    <row r="74" spans="2:30" ht="15.6">
      <c r="B74" s="106"/>
      <c r="C74" s="103" t="s">
        <v>312</v>
      </c>
      <c r="D74" s="103"/>
      <c r="E74" s="107" cm="1">
        <f t="array" ref="E74">INDEX(N74:Q74,case_number)</f>
        <v>50855.861675251261</v>
      </c>
      <c r="F74" s="111" t="s">
        <v>86</v>
      </c>
      <c r="G74" s="111"/>
      <c r="K74" s="106"/>
      <c r="L74" s="103" t="s">
        <v>312</v>
      </c>
      <c r="M74" s="103"/>
      <c r="N74" s="111">
        <v>50855.861675251261</v>
      </c>
      <c r="O74" s="111">
        <v>50315.681495846722</v>
      </c>
      <c r="P74" s="111">
        <v>49245.297882256215</v>
      </c>
      <c r="Q74" s="111">
        <v>49501.16947175184</v>
      </c>
      <c r="AB74" s="169">
        <v>110511.492</v>
      </c>
      <c r="AC74" s="169">
        <v>-217378.2</v>
      </c>
      <c r="AD74" s="170">
        <v>85421.6</v>
      </c>
    </row>
    <row r="75" spans="2:30" ht="15.6">
      <c r="B75" s="106"/>
      <c r="C75" s="103" t="s">
        <v>311</v>
      </c>
      <c r="D75" s="103"/>
      <c r="E75" s="107" cm="1">
        <f t="array" ref="E75">INDEX(N75:Q75,case_number)</f>
        <v>42080400.255492054</v>
      </c>
      <c r="F75" s="111" t="s">
        <v>86</v>
      </c>
      <c r="G75" s="111"/>
      <c r="K75" s="106"/>
      <c r="L75" s="103" t="s">
        <v>311</v>
      </c>
      <c r="M75" s="103"/>
      <c r="N75" s="111">
        <v>42080400.255492054</v>
      </c>
      <c r="O75" s="111">
        <v>39945402.507014252</v>
      </c>
      <c r="P75" s="111">
        <v>38837333.539377846</v>
      </c>
      <c r="Q75" s="111">
        <v>38344611.588675164</v>
      </c>
      <c r="AB75" s="169">
        <v>138139.36499999999</v>
      </c>
      <c r="AC75" s="169">
        <v>-217378.2</v>
      </c>
      <c r="AD75" s="170">
        <v>33285.699999999997</v>
      </c>
    </row>
    <row r="76" spans="2:30" ht="15.6">
      <c r="B76" s="106"/>
      <c r="C76" s="105" t="s">
        <v>310</v>
      </c>
      <c r="D76" s="103"/>
      <c r="E76" s="145" cm="1">
        <f t="array" ref="E76">INDEX(N76:Q76,case_number)</f>
        <v>8.4957974921069811E-5</v>
      </c>
      <c r="F76" s="145" cm="1">
        <f t="array" aca="1" ref="F76" ca="1">INDIRECT(sheet_name&amp;"!Fs_coeff.tens.2")*1000</f>
        <v>8.4958394732391612E-5</v>
      </c>
      <c r="G76" s="118">
        <f t="shared" ref="G76:G78" ca="1" si="5">(F76-E76)/E76</f>
        <v>4.9413998178575958E-6</v>
      </c>
      <c r="K76" s="106"/>
      <c r="L76" s="105" t="s">
        <v>310</v>
      </c>
      <c r="M76" s="103"/>
      <c r="N76" s="155">
        <v>8.4957974921069811E-5</v>
      </c>
      <c r="O76" s="155">
        <v>9.1992138524667454E-5</v>
      </c>
      <c r="P76" s="155">
        <v>1.0023768392749937E-4</v>
      </c>
      <c r="Q76" s="155">
        <v>1.0018494531070518E-4</v>
      </c>
      <c r="AB76" s="169">
        <v>165767.23800000001</v>
      </c>
      <c r="AC76" s="169">
        <v>-217378.2</v>
      </c>
      <c r="AD76" s="170">
        <v>23038.9</v>
      </c>
    </row>
    <row r="77" spans="2:30" ht="15.6">
      <c r="B77" s="106"/>
      <c r="C77" s="105" t="s">
        <v>309</v>
      </c>
      <c r="D77" s="103"/>
      <c r="E77" s="145" cm="1">
        <f t="array" ref="E77">INDEX(N77:Q77,case_number)</f>
        <v>7.0298004434648301E-2</v>
      </c>
      <c r="F77" s="145" cm="1">
        <f t="array" aca="1" ref="F77" ca="1">INDIRECT(sheet_name&amp;"!Fs_coeff.tens.1")</f>
        <v>7.0297140678302492E-2</v>
      </c>
      <c r="G77" s="118">
        <f t="shared" ca="1" si="5"/>
        <v>-1.228706778742394E-5</v>
      </c>
      <c r="K77" s="106"/>
      <c r="L77" s="105" t="s">
        <v>309</v>
      </c>
      <c r="M77" s="103"/>
      <c r="N77" s="155">
        <v>7.0298004434648301E-2</v>
      </c>
      <c r="O77" s="155">
        <v>7.3032161974238119E-2</v>
      </c>
      <c r="P77" s="155">
        <v>7.9052509200268586E-2</v>
      </c>
      <c r="Q77" s="155">
        <v>7.7605294096412411E-2</v>
      </c>
      <c r="AB77" s="169">
        <v>193395.111</v>
      </c>
      <c r="AC77" s="169">
        <v>-217378.2</v>
      </c>
      <c r="AD77" s="170">
        <v>9696.7199999999993</v>
      </c>
    </row>
    <row r="78" spans="2:30" ht="14.4">
      <c r="B78" s="106"/>
      <c r="C78" s="112" t="s">
        <v>308</v>
      </c>
      <c r="D78" s="103"/>
      <c r="E78" s="108" cm="1">
        <f t="array" ref="E78">INDEX(N78:Q78,case_number)</f>
        <v>934.48758626674589</v>
      </c>
      <c r="F78" s="107" cm="1">
        <f t="array" aca="1" ref="F78" ca="1">INDIRECT(sheet_name&amp;"!Fs_coeff.tens.0")/1000</f>
        <v>934.48749016305578</v>
      </c>
      <c r="G78" s="118">
        <f t="shared" ca="1" si="5"/>
        <v>-1.0284105591561238E-7</v>
      </c>
      <c r="K78" s="106"/>
      <c r="L78" s="112" t="s">
        <v>308</v>
      </c>
      <c r="M78" s="103"/>
      <c r="N78" s="108">
        <v>934.48758626674589</v>
      </c>
      <c r="O78" s="108">
        <v>934.69814715111147</v>
      </c>
      <c r="P78" s="108">
        <v>935.24288772928071</v>
      </c>
      <c r="Q78" s="108">
        <v>935.09033398729218</v>
      </c>
      <c r="AB78" s="169">
        <v>221022.984</v>
      </c>
      <c r="AC78" s="169">
        <v>-217378.2</v>
      </c>
      <c r="AD78" s="170">
        <v>2869.39</v>
      </c>
    </row>
    <row r="79" spans="2:30" ht="15.6">
      <c r="B79" s="106">
        <f>B66+1</f>
        <v>25</v>
      </c>
      <c r="C79" s="105" t="s">
        <v>155</v>
      </c>
      <c r="D79" s="103" t="s">
        <v>128</v>
      </c>
      <c r="E79" s="107" cm="1">
        <f t="array" ref="E79">INDEX(N79:Q79,case_number)</f>
        <v>428.90820975809663</v>
      </c>
      <c r="F79" s="107" cm="1">
        <f t="array" aca="1" ref="F79" ca="1">-INDIRECT(sheet_name&amp;"!DZ_gap")</f>
        <v>428.90821899701831</v>
      </c>
      <c r="G79" s="118">
        <f ca="1">(F79-E79)/E79</f>
        <v>2.1540556854087304E-8</v>
      </c>
      <c r="I79" s="139"/>
      <c r="K79" s="106">
        <f>K66+1</f>
        <v>24</v>
      </c>
      <c r="L79" s="105" t="s">
        <v>155</v>
      </c>
      <c r="M79" s="103" t="s">
        <v>128</v>
      </c>
      <c r="N79" s="107">
        <v>428.90820975809663</v>
      </c>
      <c r="O79" s="107">
        <v>442.08112714188769</v>
      </c>
      <c r="P79" s="107">
        <v>500.97160276016393</v>
      </c>
      <c r="Q79" s="107">
        <v>482.99206261208485</v>
      </c>
      <c r="R79" t="s">
        <v>408</v>
      </c>
      <c r="AB79" s="169">
        <v>248650.85699999999</v>
      </c>
      <c r="AC79" s="169">
        <v>-217378.2</v>
      </c>
      <c r="AD79" s="170">
        <v>2108.6799999999998</v>
      </c>
    </row>
    <row r="80" spans="2:30" ht="15.6">
      <c r="B80" s="106"/>
      <c r="C80" s="103" t="s">
        <v>144</v>
      </c>
      <c r="D80" s="103" t="s">
        <v>143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144</v>
      </c>
      <c r="M80" s="103" t="s">
        <v>143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">
        <v>408</v>
      </c>
      <c r="AB80" s="169">
        <v>276278.73</v>
      </c>
      <c r="AC80" s="169">
        <v>-217378.2</v>
      </c>
      <c r="AD80" s="170">
        <v>66.819999999999993</v>
      </c>
    </row>
    <row r="81" spans="2:30" ht="16.8">
      <c r="B81" s="106"/>
      <c r="C81" s="103" t="s">
        <v>142</v>
      </c>
      <c r="D81" s="103" t="s">
        <v>272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6">(F81-E81)/E81</f>
        <v>-1.111295481804798E-16</v>
      </c>
      <c r="I81" s="138"/>
      <c r="K81" s="106"/>
      <c r="L81" s="103" t="s">
        <v>142</v>
      </c>
      <c r="M81" s="103" t="s">
        <v>417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">
        <v>408</v>
      </c>
      <c r="AB81" s="169">
        <v>303906.603</v>
      </c>
      <c r="AC81" s="169">
        <v>-217378.2</v>
      </c>
      <c r="AD81" s="170">
        <v>21.73</v>
      </c>
    </row>
    <row r="82" spans="2:30" ht="15.6">
      <c r="B82" s="106"/>
      <c r="C82" s="103" t="s">
        <v>148</v>
      </c>
      <c r="D82" s="103" t="s">
        <v>143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6"/>
        <v>0</v>
      </c>
      <c r="I82" s="138"/>
      <c r="K82" s="106"/>
      <c r="L82" s="103" t="s">
        <v>148</v>
      </c>
      <c r="M82" s="103" t="s">
        <v>143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408</v>
      </c>
      <c r="AB82" s="169">
        <v>359162.34899999999</v>
      </c>
      <c r="AC82" s="169">
        <v>-217378.2</v>
      </c>
      <c r="AD82" s="170">
        <v>6.2649999999999997</v>
      </c>
    </row>
    <row r="83" spans="2:30" ht="16.8">
      <c r="B83" s="106"/>
      <c r="C83" s="103" t="s">
        <v>147</v>
      </c>
      <c r="D83" s="103" t="s">
        <v>272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6"/>
        <v>-4.4732112133308286E-16</v>
      </c>
      <c r="I83" s="138"/>
      <c r="K83" s="106"/>
      <c r="L83" s="103" t="s">
        <v>147</v>
      </c>
      <c r="M83" s="103" t="s">
        <v>417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">
        <v>408</v>
      </c>
      <c r="AB83" s="169">
        <v>386790.22200000001</v>
      </c>
      <c r="AC83" s="169">
        <v>-217378.2</v>
      </c>
      <c r="AD83" s="170">
        <v>3.12</v>
      </c>
    </row>
    <row r="84" spans="2:30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8412.8474619401441</v>
      </c>
      <c r="F84" s="111" cm="1">
        <f t="array" aca="1" ref="F84" ca="1">INDIRECT(sheet_name&amp;"!gap.stiffness")</f>
        <v>8412.8476431575564</v>
      </c>
      <c r="G84" s="118">
        <f ca="1">(F84-E84)/E84</f>
        <v>2.1540556052945447E-8</v>
      </c>
      <c r="I84" s="138"/>
      <c r="K84" s="106">
        <f>K79+1</f>
        <v>25</v>
      </c>
      <c r="L84" s="103" t="s">
        <v>154</v>
      </c>
      <c r="M84" s="103" t="s">
        <v>134</v>
      </c>
      <c r="N84" s="111">
        <v>8412.8474619401441</v>
      </c>
      <c r="O84" s="111">
        <v>4649.3179623487395</v>
      </c>
      <c r="P84" s="111">
        <v>3245.2538606130393</v>
      </c>
      <c r="Q84" s="111">
        <v>2098.2466053588823</v>
      </c>
      <c r="R84" t="s">
        <v>408</v>
      </c>
      <c r="AB84" s="169">
        <v>0.1330700007</v>
      </c>
      <c r="AC84" s="169">
        <v>-196063.4</v>
      </c>
      <c r="AD84" s="170">
        <v>11335500</v>
      </c>
    </row>
    <row r="85" spans="2:30" ht="15.6">
      <c r="B85" s="106"/>
      <c r="C85" s="103" t="s">
        <v>415</v>
      </c>
      <c r="D85" s="103" t="s">
        <v>123</v>
      </c>
      <c r="E85" s="108" cm="1">
        <f t="array" ref="E85">INDEX(N85:Q85,case_number)</f>
        <v>1.5</v>
      </c>
      <c r="F85" s="108" cm="1">
        <f t="array" aca="1" ref="F85" ca="1">INDIRECT(sheet_name&amp;"!ftot")</f>
        <v>1.5</v>
      </c>
      <c r="G85" s="118">
        <f ca="1">(F85-E85)/E85</f>
        <v>0</v>
      </c>
      <c r="I85" s="138"/>
      <c r="K85" s="106"/>
      <c r="L85" s="103" t="s">
        <v>415</v>
      </c>
      <c r="M85" s="103" t="s">
        <v>123</v>
      </c>
      <c r="N85" s="108">
        <v>1.5</v>
      </c>
      <c r="O85" s="108">
        <v>2</v>
      </c>
      <c r="P85" s="108">
        <v>2.5</v>
      </c>
      <c r="Q85" s="108">
        <v>2.5</v>
      </c>
      <c r="AB85" s="169">
        <v>27628.027699999999</v>
      </c>
      <c r="AC85" s="169">
        <v>-196063.4</v>
      </c>
      <c r="AD85" s="170">
        <v>794046</v>
      </c>
    </row>
    <row r="86" spans="2:30" ht="15.6">
      <c r="B86" s="106">
        <f>B84+1</f>
        <v>27</v>
      </c>
      <c r="C86" s="103" t="s">
        <v>151</v>
      </c>
      <c r="D86" s="103" t="s">
        <v>134</v>
      </c>
      <c r="E86" s="111" cm="1">
        <f t="array" ref="E86">INDEX(N86:Q86,case_number)</f>
        <v>4969.7474220912991</v>
      </c>
      <c r="F86" s="111" t="s">
        <v>86</v>
      </c>
      <c r="G86" s="111"/>
      <c r="H86" t="s">
        <v>153</v>
      </c>
      <c r="I86" s="138"/>
      <c r="K86" s="106">
        <f>K84+1</f>
        <v>26</v>
      </c>
      <c r="L86" s="103" t="s">
        <v>151</v>
      </c>
      <c r="M86" s="103" t="s">
        <v>134</v>
      </c>
      <c r="N86" s="111">
        <v>4969.7474220912991</v>
      </c>
      <c r="O86" s="111">
        <v>2087.6088407482434</v>
      </c>
      <c r="P86" s="111">
        <v>1100.430262890972</v>
      </c>
      <c r="Q86" s="111">
        <v>618.07300717442922</v>
      </c>
      <c r="R86" t="s">
        <v>153</v>
      </c>
      <c r="AB86" s="169">
        <v>55255.900699999998</v>
      </c>
      <c r="AC86" s="169">
        <v>-196063.4</v>
      </c>
      <c r="AD86" s="170">
        <v>535406</v>
      </c>
    </row>
    <row r="87" spans="2:30" ht="15.6">
      <c r="B87" s="106"/>
      <c r="C87" s="103" t="s">
        <v>151</v>
      </c>
      <c r="D87" s="103" t="s">
        <v>134</v>
      </c>
      <c r="E87" s="111" cm="1">
        <f t="array" ref="E87">INDEX(N87:Q87,case_number)</f>
        <v>5347.6060878876842</v>
      </c>
      <c r="F87" s="111" cm="1">
        <f t="array" aca="1" ref="F87" ca="1">INDIRECT(sheet_name&amp;"!gap.k_shell")</f>
        <v>5347.6060878876842</v>
      </c>
      <c r="G87" s="118">
        <f ca="1">(F87-E87)/E87</f>
        <v>0</v>
      </c>
      <c r="H87" t="s">
        <v>152</v>
      </c>
      <c r="I87" s="138"/>
      <c r="K87" s="106"/>
      <c r="L87" s="103" t="s">
        <v>151</v>
      </c>
      <c r="M87" s="103" t="s">
        <v>134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">
        <v>152</v>
      </c>
      <c r="AB87" s="169">
        <v>82883.619000000006</v>
      </c>
      <c r="AC87" s="169">
        <v>-196063.4</v>
      </c>
      <c r="AD87" s="170">
        <v>248475</v>
      </c>
    </row>
    <row r="88" spans="2:30" ht="15.6">
      <c r="B88" s="106"/>
      <c r="C88" s="103" t="s">
        <v>151</v>
      </c>
      <c r="D88" s="103" t="s">
        <v>134</v>
      </c>
      <c r="E88" s="111" cm="1">
        <f t="array" ref="E88">INDEX(N88:Q88,case_number)</f>
        <v>5347.6060878876842</v>
      </c>
      <c r="F88" s="111" cm="1">
        <f t="array" aca="1" ref="F88" ca="1">INDIRECT(sheet_name&amp;"!gap.k_shell")</f>
        <v>5347.6060878876842</v>
      </c>
      <c r="G88" s="118">
        <f ca="1">(F88-E88)/E88</f>
        <v>0</v>
      </c>
      <c r="H88" t="s">
        <v>150</v>
      </c>
      <c r="I88" s="138"/>
      <c r="K88" s="106"/>
      <c r="L88" s="103" t="s">
        <v>151</v>
      </c>
      <c r="M88" s="103" t="s">
        <v>134</v>
      </c>
      <c r="N88" s="111">
        <v>5347.6060878876842</v>
      </c>
      <c r="O88" s="111">
        <v>2307.8784491005872</v>
      </c>
      <c r="P88" s="111">
        <v>1294.7690648871564</v>
      </c>
      <c r="Q88" s="111">
        <v>838.24223860426605</v>
      </c>
      <c r="R88" t="s">
        <v>150</v>
      </c>
      <c r="AB88" s="169">
        <v>110511.492</v>
      </c>
      <c r="AC88" s="169">
        <v>-196063.4</v>
      </c>
      <c r="AD88" s="170">
        <v>104468</v>
      </c>
    </row>
    <row r="89" spans="2:30" ht="15.6">
      <c r="B89" s="106">
        <f>B86+1</f>
        <v>28</v>
      </c>
      <c r="C89" s="103" t="s">
        <v>149</v>
      </c>
      <c r="D89" s="103" t="s">
        <v>123</v>
      </c>
      <c r="E89" s="109" cm="1">
        <f t="array" ref="E89">INDEX(N89:Q89,case_number)</f>
        <v>1.8</v>
      </c>
      <c r="F89" s="109" cm="1">
        <f t="array" aca="1" ref="F89" ca="1">INDIRECT(sheet_name&amp;"!gap.k_fac")</f>
        <v>1.8</v>
      </c>
      <c r="G89" s="118">
        <f ca="1">(F89-E89)/E89</f>
        <v>0</v>
      </c>
      <c r="I89" s="138"/>
      <c r="K89" s="106">
        <f>K86+1</f>
        <v>27</v>
      </c>
      <c r="L89" s="103" t="s">
        <v>149</v>
      </c>
      <c r="M89" s="103" t="s">
        <v>123</v>
      </c>
      <c r="N89" s="109">
        <v>1.8</v>
      </c>
      <c r="O89" s="109">
        <v>2.0853981633974481</v>
      </c>
      <c r="P89" s="109">
        <v>2.4780972450961727</v>
      </c>
      <c r="Q89" s="109">
        <v>2.8707963267948964</v>
      </c>
      <c r="R89" t="s">
        <v>408</v>
      </c>
      <c r="AB89" s="169">
        <v>138139.36499999999</v>
      </c>
      <c r="AC89" s="169">
        <v>-196063.4</v>
      </c>
      <c r="AD89" s="170">
        <v>48131.1</v>
      </c>
    </row>
    <row r="90" spans="2:30" ht="15.6">
      <c r="B90" s="106">
        <f>B89+1</f>
        <v>29</v>
      </c>
      <c r="C90" s="103" t="s">
        <v>146</v>
      </c>
      <c r="D90" s="103" t="s">
        <v>134</v>
      </c>
      <c r="E90" s="107" cm="1">
        <f t="array" ref="E90">INDEX(N90:Q90,case_number)</f>
        <v>260.95888673907825</v>
      </c>
      <c r="F90" s="107" cm="1">
        <f t="array" aca="1" ref="F90" ca="1">INDIRECT(sheet_name&amp;"!gap.k_fl")</f>
        <v>260.95900755068658</v>
      </c>
      <c r="G90" s="118">
        <f ca="1">(F90-E90)/E90</f>
        <v>4.6295265064881885E-7</v>
      </c>
      <c r="I90" s="139"/>
      <c r="K90" s="106">
        <f>K89+1</f>
        <v>28</v>
      </c>
      <c r="L90" s="103" t="s">
        <v>146</v>
      </c>
      <c r="M90" s="103" t="s">
        <v>134</v>
      </c>
      <c r="N90" s="107">
        <v>260.95888673907825</v>
      </c>
      <c r="O90" s="107">
        <v>16.780532073782691</v>
      </c>
      <c r="P90" s="107">
        <v>3.3324793580593299</v>
      </c>
      <c r="Q90" s="107">
        <v>1.0564035392869544</v>
      </c>
      <c r="R90" t="s">
        <v>408</v>
      </c>
      <c r="AB90" s="169">
        <v>165767.23800000001</v>
      </c>
      <c r="AC90" s="169">
        <v>-196063.4</v>
      </c>
      <c r="AD90" s="170">
        <v>23220.9</v>
      </c>
    </row>
    <row r="91" spans="2:30" ht="15.6">
      <c r="B91" s="106">
        <f>B90+1</f>
        <v>30</v>
      </c>
      <c r="C91" s="105" t="s">
        <v>145</v>
      </c>
      <c r="D91" s="103" t="s">
        <v>128</v>
      </c>
      <c r="E91" s="108" cm="1">
        <f t="array" ref="E91">INDEX(N91:Q91,case_number)</f>
        <v>336.23632071251666</v>
      </c>
      <c r="F91" s="108" cm="1">
        <f t="array" aca="1" ref="F91" ca="1">-INDIRECT(sheet_name&amp;"!DZ_gap_c")</f>
        <v>336.23625207103021</v>
      </c>
      <c r="G91" s="118">
        <f ca="1">(F91-E91)/E91</f>
        <v>-2.0414655473537948E-7</v>
      </c>
      <c r="H91" t="s">
        <v>306</v>
      </c>
      <c r="I91" s="138"/>
      <c r="K91" s="106">
        <f t="shared" si="0"/>
        <v>29</v>
      </c>
      <c r="L91" s="105" t="s">
        <v>145</v>
      </c>
      <c r="M91" s="103" t="s">
        <v>128</v>
      </c>
      <c r="N91" s="107">
        <v>336.23632071251666</v>
      </c>
      <c r="O91" s="107">
        <v>350.88501931458478</v>
      </c>
      <c r="P91" s="107">
        <v>356.40950095541024</v>
      </c>
      <c r="Q91" s="107">
        <v>358.07448861897069</v>
      </c>
      <c r="R91" t="s">
        <v>306</v>
      </c>
      <c r="AB91" s="169">
        <v>193395.111</v>
      </c>
      <c r="AC91" s="169">
        <v>-196063.4</v>
      </c>
      <c r="AD91" s="170">
        <v>12974.6</v>
      </c>
    </row>
    <row r="92" spans="2:30" ht="15.6">
      <c r="B92" s="106">
        <f>B91+1</f>
        <v>31</v>
      </c>
      <c r="C92" s="103" t="s">
        <v>141</v>
      </c>
      <c r="D92" s="103" t="s">
        <v>128</v>
      </c>
      <c r="E92" s="108" cm="1">
        <f t="array" ref="E92">INDEX(N92:Q92,case_number)</f>
        <v>231.89749903285738</v>
      </c>
      <c r="F92" s="108" cm="1">
        <f t="array" aca="1" ref="F92" ca="1">INDIRECT(sheet_name&amp;"!F_V_c")</f>
        <v>231.89764113978492</v>
      </c>
      <c r="G92" s="118">
        <f t="shared" ref="G92" ca="1" si="7">(F92-E92)/E92</f>
        <v>6.1280060429100669E-7</v>
      </c>
      <c r="H92" t="s">
        <v>306</v>
      </c>
      <c r="I92" s="139"/>
      <c r="K92" s="106">
        <f>K91+1</f>
        <v>30</v>
      </c>
      <c r="L92" s="103" t="s">
        <v>141</v>
      </c>
      <c r="M92" s="103" t="s">
        <v>128</v>
      </c>
      <c r="N92" s="107">
        <v>231.89749903285738</v>
      </c>
      <c r="O92" s="107">
        <v>201.57062741112088</v>
      </c>
      <c r="P92" s="107">
        <v>190.13341718179032</v>
      </c>
      <c r="Q92" s="107">
        <v>186.68643062713198</v>
      </c>
      <c r="R92" t="s">
        <v>306</v>
      </c>
      <c r="AB92" s="169">
        <v>221022.984</v>
      </c>
      <c r="AC92" s="169">
        <v>-196063.4</v>
      </c>
      <c r="AD92" s="170">
        <v>4267.88</v>
      </c>
    </row>
    <row r="93" spans="2:30" ht="15.6">
      <c r="B93" s="106"/>
      <c r="C93" s="105" t="s">
        <v>140</v>
      </c>
      <c r="D93" s="103" t="s">
        <v>128</v>
      </c>
      <c r="E93" s="110" cm="1">
        <f t="array" ref="E93">INDEX(N93:Q93,case_number)</f>
        <v>0</v>
      </c>
      <c r="F93" s="110" cm="1">
        <f t="array" aca="1" ref="F93" ca="1">INDIRECT(sheet_name&amp;"!DZ_gap_inclination")</f>
        <v>0</v>
      </c>
      <c r="G93" s="118">
        <f ca="1">IF(AND(E93=0,F93=0), 0, (F93-E93)/E93)</f>
        <v>0</v>
      </c>
      <c r="H93" t="str">
        <f>"Inclination used: "&amp;E93&amp;"deg"</f>
        <v>Inclination used: 0deg</v>
      </c>
      <c r="I93" s="139"/>
      <c r="K93" s="106"/>
      <c r="L93" s="105" t="s">
        <v>140</v>
      </c>
      <c r="M93" s="103" t="s">
        <v>128</v>
      </c>
      <c r="N93" s="108">
        <v>0</v>
      </c>
      <c r="O93" s="108">
        <v>0</v>
      </c>
      <c r="P93" s="108">
        <v>0</v>
      </c>
      <c r="Q93" s="108">
        <v>0</v>
      </c>
      <c r="R93" t="s">
        <v>410</v>
      </c>
      <c r="AB93" s="169">
        <v>248650.85699999999</v>
      </c>
      <c r="AC93" s="169">
        <v>-196063.4</v>
      </c>
      <c r="AD93" s="170">
        <v>1304.25</v>
      </c>
    </row>
    <row r="94" spans="2:30" ht="15.6">
      <c r="B94" s="106">
        <f>B92+1</f>
        <v>32</v>
      </c>
      <c r="C94" s="105" t="s">
        <v>139</v>
      </c>
      <c r="D94" s="103" t="s">
        <v>128</v>
      </c>
      <c r="E94" s="107" cm="1">
        <f t="array" ref="E94">INDEX(N94:Q94,case_number)</f>
        <v>765.14453047061329</v>
      </c>
      <c r="F94" s="107" cm="1">
        <f t="array" aca="1" ref="F94" ca="1">-INDIRECT(sheet_name&amp;"!DZ_gap_tot")</f>
        <v>765.14447106804846</v>
      </c>
      <c r="G94" s="107"/>
      <c r="I94" s="138"/>
      <c r="K94" s="106">
        <f>K92+1</f>
        <v>31</v>
      </c>
      <c r="L94" s="105" t="s">
        <v>139</v>
      </c>
      <c r="M94" s="103" t="s">
        <v>128</v>
      </c>
      <c r="N94" s="107">
        <v>765.14453047061329</v>
      </c>
      <c r="O94" s="107">
        <v>792.96614645647242</v>
      </c>
      <c r="P94" s="107">
        <v>857.38110371557423</v>
      </c>
      <c r="Q94" s="107">
        <v>841.06655123105554</v>
      </c>
      <c r="R94" t="s">
        <v>408</v>
      </c>
      <c r="AB94" s="169">
        <v>276278.73</v>
      </c>
      <c r="AC94" s="169">
        <v>-196063.4</v>
      </c>
      <c r="AD94" s="170">
        <v>259.005</v>
      </c>
    </row>
    <row r="95" spans="2:30" ht="15.6">
      <c r="B95" s="106">
        <f>B94+1</f>
        <v>33</v>
      </c>
      <c r="C95" s="103" t="s">
        <v>138</v>
      </c>
      <c r="D95" s="103" t="s">
        <v>128</v>
      </c>
      <c r="E95" s="107" cm="1">
        <f t="array" ref="E95">INDEX(N95:Q95,case_number)</f>
        <v>1160</v>
      </c>
      <c r="F95" s="107" t="s">
        <v>86</v>
      </c>
      <c r="G95" s="118"/>
      <c r="I95" s="138"/>
      <c r="K95" s="106">
        <f t="shared" si="0"/>
        <v>32</v>
      </c>
      <c r="L95" s="103" t="s">
        <v>138</v>
      </c>
      <c r="M95" s="103" t="s">
        <v>128</v>
      </c>
      <c r="N95" s="107">
        <v>1160</v>
      </c>
      <c r="O95" s="107">
        <v>1160</v>
      </c>
      <c r="P95" s="107">
        <v>1160</v>
      </c>
      <c r="Q95" s="107">
        <v>1160</v>
      </c>
      <c r="R95" t="s">
        <v>408</v>
      </c>
      <c r="AB95" s="169">
        <v>303906.603</v>
      </c>
      <c r="AC95" s="169">
        <v>-196063.4</v>
      </c>
      <c r="AD95" s="170">
        <v>39.174999999999997</v>
      </c>
    </row>
    <row r="96" spans="2:30" ht="15.6">
      <c r="B96" s="106">
        <f>B95+1</f>
        <v>34</v>
      </c>
      <c r="C96" s="103" t="s">
        <v>137</v>
      </c>
      <c r="D96" s="103" t="s">
        <v>128</v>
      </c>
      <c r="E96" s="108" cm="1">
        <f t="array" ref="E96">INDEX(N96:Q96,case_number)</f>
        <v>2320</v>
      </c>
      <c r="F96" s="108" cm="1">
        <f t="array" aca="1" ref="F96" ca="1">INDIRECT(sheet_name&amp;"!Z0")</f>
        <v>2320</v>
      </c>
      <c r="G96" s="118">
        <f ca="1">(F96-E96)/E96</f>
        <v>0</v>
      </c>
      <c r="H96" t="s">
        <v>307</v>
      </c>
      <c r="I96" s="138"/>
      <c r="K96" s="106">
        <f t="shared" si="0"/>
        <v>33</v>
      </c>
      <c r="L96" s="103" t="s">
        <v>137</v>
      </c>
      <c r="M96" s="103" t="s">
        <v>128</v>
      </c>
      <c r="N96" s="107">
        <v>2320</v>
      </c>
      <c r="O96" s="107">
        <v>2320</v>
      </c>
      <c r="P96" s="107">
        <v>2320</v>
      </c>
      <c r="Q96" s="107">
        <v>2320</v>
      </c>
      <c r="R96" t="s">
        <v>307</v>
      </c>
      <c r="AB96" s="169">
        <v>331534.47600000002</v>
      </c>
      <c r="AC96" s="169">
        <v>-196063.4</v>
      </c>
      <c r="AD96" s="170">
        <v>13.98</v>
      </c>
    </row>
    <row r="97" spans="2:30" ht="15.6">
      <c r="B97" s="106">
        <f>B96+1</f>
        <v>35</v>
      </c>
      <c r="C97" s="103" t="s">
        <v>137</v>
      </c>
      <c r="D97" s="103" t="s">
        <v>128</v>
      </c>
      <c r="E97" s="110" cm="1">
        <f t="array" ref="E97">INDEX(N97:Q97,case_number)</f>
        <v>2320</v>
      </c>
      <c r="F97" s="110" t="s">
        <v>86</v>
      </c>
      <c r="G97" s="104"/>
      <c r="H97" t="s">
        <v>306</v>
      </c>
      <c r="I97" s="139"/>
      <c r="K97" s="106">
        <f t="shared" si="0"/>
        <v>34</v>
      </c>
      <c r="L97" s="103" t="s">
        <v>137</v>
      </c>
      <c r="M97" s="103" t="s">
        <v>128</v>
      </c>
      <c r="N97" s="108">
        <v>2320</v>
      </c>
      <c r="O97" s="108">
        <v>2320</v>
      </c>
      <c r="P97" s="108">
        <v>2320</v>
      </c>
      <c r="Q97" s="108">
        <v>2320</v>
      </c>
      <c r="R97" t="s">
        <v>306</v>
      </c>
      <c r="AB97" s="169">
        <v>359162.34899999999</v>
      </c>
      <c r="AC97" s="169">
        <v>-196063.4</v>
      </c>
      <c r="AD97" s="170">
        <v>15.55</v>
      </c>
    </row>
    <row r="98" spans="2:30" ht="15.6">
      <c r="B98" s="106">
        <f>B97+1</f>
        <v>36</v>
      </c>
      <c r="C98" s="105" t="s">
        <v>136</v>
      </c>
      <c r="D98" s="103" t="s">
        <v>123</v>
      </c>
      <c r="E98" s="109" cm="1">
        <f t="array" ref="E98">INDEX(N98:Q98,case_number)</f>
        <v>1.0505529099981601</v>
      </c>
      <c r="F98" s="109" cm="1">
        <f t="array" aca="1" ref="F98" ca="1">INDIRECT(sheet_name&amp;"!stiffness_correction_factor")</f>
        <v>1.0505535851722823</v>
      </c>
      <c r="G98" s="118">
        <f ca="1">(F98-E98)/E98</f>
        <v>6.4268454805179571E-7</v>
      </c>
      <c r="I98" s="139"/>
      <c r="K98" s="106">
        <f t="shared" si="0"/>
        <v>35</v>
      </c>
      <c r="L98" s="105" t="s">
        <v>136</v>
      </c>
      <c r="M98" s="103" t="s">
        <v>123</v>
      </c>
      <c r="N98" s="109">
        <v>1.0505529099981601</v>
      </c>
      <c r="O98" s="109">
        <v>1.0279378122052913</v>
      </c>
      <c r="P98" s="109">
        <v>1.019500772726351</v>
      </c>
      <c r="Q98" s="109">
        <v>1.0126083911867565</v>
      </c>
      <c r="R98" t="s">
        <v>408</v>
      </c>
      <c r="AB98" s="169">
        <v>386790.22200000001</v>
      </c>
      <c r="AC98" s="169">
        <v>-196063.4</v>
      </c>
      <c r="AD98" s="170">
        <v>21.77</v>
      </c>
    </row>
    <row r="99" spans="2:30">
      <c r="B99" s="106"/>
      <c r="C99" s="105" t="s">
        <v>271</v>
      </c>
      <c r="D99" s="103" t="s">
        <v>126</v>
      </c>
      <c r="E99" s="107" cm="1">
        <f t="array" ref="E99">INDEX(N99:Q99,case_number)</f>
        <v>116.39600781550183</v>
      </c>
      <c r="F99" s="107" t="s">
        <v>86</v>
      </c>
      <c r="G99" s="118"/>
      <c r="I99" s="138"/>
      <c r="K99" s="106"/>
      <c r="L99" s="105" t="s">
        <v>271</v>
      </c>
      <c r="M99" s="103" t="s">
        <v>126</v>
      </c>
      <c r="N99" s="107">
        <v>116.39600781550183</v>
      </c>
      <c r="O99" s="107">
        <v>116.39600781550183</v>
      </c>
      <c r="P99" s="107">
        <v>116.39600781550183</v>
      </c>
      <c r="Q99" s="107">
        <v>116.39600781550183</v>
      </c>
      <c r="R99" t="s">
        <v>408</v>
      </c>
      <c r="AB99" s="169">
        <v>414418.09499999997</v>
      </c>
      <c r="AC99" s="169">
        <v>-196063.4</v>
      </c>
      <c r="AD99" s="170">
        <v>6.2249999999999996</v>
      </c>
    </row>
    <row r="100" spans="2:30" ht="15.6">
      <c r="B100" s="106">
        <f>B98+1</f>
        <v>37</v>
      </c>
      <c r="C100" s="103" t="s">
        <v>135</v>
      </c>
      <c r="D100" s="103" t="s">
        <v>134</v>
      </c>
      <c r="E100" s="107" cm="1">
        <f t="array" ref="E100">INDEX(N100:Q100,case_number)</f>
        <v>166416.68031071479</v>
      </c>
      <c r="F100" s="107" cm="1">
        <f t="array" aca="1" ref="F100" ca="1">INDIRECT(sheet_name&amp;"!k_seg")</f>
        <v>166414.46129858619</v>
      </c>
      <c r="G100" s="118">
        <f ca="1">(F100-E100)/E100</f>
        <v>-1.3334072789179343E-5</v>
      </c>
      <c r="I100" s="138"/>
      <c r="K100" s="106">
        <f>K98+1</f>
        <v>36</v>
      </c>
      <c r="L100" s="103" t="s">
        <v>135</v>
      </c>
      <c r="M100" s="103" t="s">
        <v>134</v>
      </c>
      <c r="N100" s="107">
        <v>166416.68031071479</v>
      </c>
      <c r="O100" s="107">
        <v>166416.68031071479</v>
      </c>
      <c r="P100" s="107">
        <v>166416.68031071479</v>
      </c>
      <c r="Q100" s="107">
        <v>166416.68031071479</v>
      </c>
      <c r="R100" t="s">
        <v>408</v>
      </c>
      <c r="AB100" s="169">
        <v>469673.84100000001</v>
      </c>
      <c r="AC100" s="169">
        <v>-196063.4</v>
      </c>
      <c r="AD100" s="170">
        <v>3.11</v>
      </c>
    </row>
    <row r="101" spans="2:30">
      <c r="B101" s="106"/>
      <c r="C101" s="103"/>
      <c r="D101" s="103"/>
      <c r="E101" s="111"/>
      <c r="F101" s="111"/>
      <c r="G101" s="118"/>
      <c r="I101" s="138"/>
      <c r="K101" s="106"/>
      <c r="L101" s="103"/>
      <c r="M101" s="103"/>
      <c r="N101" s="111"/>
      <c r="O101" s="111"/>
      <c r="P101" s="111"/>
      <c r="Q101" s="111"/>
      <c r="R101" t="s">
        <v>408</v>
      </c>
      <c r="AB101" s="169">
        <v>497301.71399999998</v>
      </c>
      <c r="AC101" s="169">
        <v>-196063.4</v>
      </c>
      <c r="AD101" s="170">
        <v>3.11</v>
      </c>
    </row>
    <row r="102" spans="2:30">
      <c r="B102" s="106">
        <f>B101+1</f>
        <v>1</v>
      </c>
      <c r="C102" s="103" t="s">
        <v>1</v>
      </c>
      <c r="D102" s="103" t="s">
        <v>126</v>
      </c>
      <c r="E102" s="109" cm="1">
        <f t="array" ref="E102">INDEX(N102:Q102,case_number)</f>
        <v>0.11977137777930504</v>
      </c>
      <c r="F102" s="109" cm="1">
        <f t="array" aca="1" ref="F102" ca="1">INDIRECT(sheet_name&amp;"!u")</f>
        <v>0.11977297484086973</v>
      </c>
      <c r="G102" s="118">
        <f ca="1">(F102-E102)/E102</f>
        <v>1.3334250588923367E-5</v>
      </c>
      <c r="H102" t="s">
        <v>307</v>
      </c>
      <c r="I102" s="138"/>
      <c r="K102" s="106">
        <f t="shared" si="0"/>
        <v>1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408</v>
      </c>
      <c r="AB102" s="169">
        <v>0.1330700007</v>
      </c>
      <c r="AC102" s="169">
        <v>-174749.9</v>
      </c>
      <c r="AD102" s="170">
        <v>13519300</v>
      </c>
    </row>
    <row r="103" spans="2:30">
      <c r="B103" s="106">
        <f>B102+1</f>
        <v>2</v>
      </c>
      <c r="C103" s="103" t="s">
        <v>1</v>
      </c>
      <c r="D103" s="103" t="s">
        <v>126</v>
      </c>
      <c r="E103" s="110" cm="1">
        <f t="array" ref="E103">INDEX(N103:Q103,case_number)</f>
        <v>0.11977137777930504</v>
      </c>
      <c r="F103" s="104"/>
      <c r="G103" s="104"/>
      <c r="H103" t="s">
        <v>306</v>
      </c>
      <c r="I103" s="138"/>
      <c r="K103" s="106">
        <f t="shared" si="0"/>
        <v>2</v>
      </c>
      <c r="L103" s="103" t="s">
        <v>1</v>
      </c>
      <c r="M103" s="103" t="s">
        <v>126</v>
      </c>
      <c r="N103" s="109">
        <v>0.11977137777930504</v>
      </c>
      <c r="O103" s="109">
        <v>0.11977137777930504</v>
      </c>
      <c r="P103" s="109">
        <v>0.11977137777930504</v>
      </c>
      <c r="Q103" s="109">
        <v>0.11977137777930504</v>
      </c>
      <c r="R103" t="s">
        <v>306</v>
      </c>
      <c r="AB103" s="169">
        <v>27628.027699999999</v>
      </c>
      <c r="AC103" s="169">
        <v>-174749.9</v>
      </c>
      <c r="AD103" s="170">
        <v>904574</v>
      </c>
    </row>
    <row r="104" spans="2:30" ht="15.6">
      <c r="B104" s="106"/>
      <c r="C104" s="103" t="s">
        <v>133</v>
      </c>
      <c r="D104" s="103" t="s">
        <v>128</v>
      </c>
      <c r="E104" s="110" cm="1">
        <f t="array" ref="E104">INDEX(N104:Q104,case_number)</f>
        <v>21164</v>
      </c>
      <c r="F104" s="110" t="s">
        <v>86</v>
      </c>
      <c r="G104" s="110"/>
      <c r="I104" s="139"/>
      <c r="K104" s="106"/>
      <c r="L104" s="103" t="s">
        <v>133</v>
      </c>
      <c r="M104" s="103" t="s">
        <v>128</v>
      </c>
      <c r="N104" s="110">
        <v>21164</v>
      </c>
      <c r="O104" s="110">
        <v>21164</v>
      </c>
      <c r="P104" s="110">
        <v>21164</v>
      </c>
      <c r="Q104" s="110">
        <v>21164</v>
      </c>
      <c r="R104" t="s">
        <v>411</v>
      </c>
      <c r="AB104" s="169">
        <v>55255.900699999998</v>
      </c>
      <c r="AC104" s="169">
        <v>-174749.9</v>
      </c>
      <c r="AD104" s="170">
        <v>564052</v>
      </c>
    </row>
    <row r="105" spans="2:30" ht="15.6">
      <c r="B105" s="106">
        <f>B103+1</f>
        <v>3</v>
      </c>
      <c r="C105" s="105" t="s">
        <v>132</v>
      </c>
      <c r="D105" s="103" t="s">
        <v>128</v>
      </c>
      <c r="E105" s="107" cm="1">
        <f t="array" ref="E105">INDEX(N105:Q105,case_number)</f>
        <v>-105.82</v>
      </c>
      <c r="F105" s="107" cm="1">
        <f t="array" aca="1" ref="F105" ca="1">INDIRECT(sheet_name&amp;"!Z_dw")</f>
        <v>-105.82</v>
      </c>
      <c r="G105" s="118">
        <f ca="1">(F105-E105)/E105</f>
        <v>0</v>
      </c>
      <c r="K105" s="106">
        <f>K103+1</f>
        <v>3</v>
      </c>
      <c r="L105" s="105" t="s">
        <v>132</v>
      </c>
      <c r="M105" s="103" t="s">
        <v>128</v>
      </c>
      <c r="N105" s="107">
        <v>-105.82</v>
      </c>
      <c r="O105" s="107">
        <v>-105.82</v>
      </c>
      <c r="P105" s="107">
        <v>-105.82</v>
      </c>
      <c r="Q105" s="107">
        <v>-105.82</v>
      </c>
      <c r="R105" t="s">
        <v>411</v>
      </c>
      <c r="AB105" s="169">
        <v>82883.619000000006</v>
      </c>
      <c r="AC105" s="169">
        <v>-174749.9</v>
      </c>
      <c r="AD105" s="170">
        <v>279180</v>
      </c>
    </row>
    <row r="106" spans="2:30">
      <c r="B106" s="106">
        <f t="shared" ref="B106:B113" si="8">B105+1</f>
        <v>4</v>
      </c>
      <c r="D106" s="103"/>
      <c r="E106" s="110"/>
      <c r="F106" s="104"/>
      <c r="G106" s="104"/>
      <c r="I106" s="103"/>
      <c r="K106" s="106">
        <f t="shared" ref="K106:K118" si="9">K105+1</f>
        <v>4</v>
      </c>
      <c r="M106" s="103"/>
      <c r="N106" s="104"/>
      <c r="O106" s="104"/>
      <c r="P106" s="104"/>
      <c r="Q106" s="104"/>
      <c r="R106" t="s">
        <v>408</v>
      </c>
      <c r="AB106" s="169">
        <v>110511.492</v>
      </c>
      <c r="AC106" s="169">
        <v>-174749.9</v>
      </c>
      <c r="AD106" s="170">
        <v>145806</v>
      </c>
    </row>
    <row r="107" spans="2:30" ht="15.6">
      <c r="B107" s="106">
        <f t="shared" si="8"/>
        <v>5</v>
      </c>
      <c r="C107" s="103" t="s">
        <v>131</v>
      </c>
      <c r="D107" s="103" t="s">
        <v>128</v>
      </c>
      <c r="E107" s="107" cm="1">
        <f t="array" ref="E107">INDEX(N107:Q107,case_number)</f>
        <v>-870.96453047061323</v>
      </c>
      <c r="F107" s="107" cm="1">
        <f t="array" aca="1" ref="F107" ca="1">INDIRECT(sheet_name&amp;"!point4.Z")</f>
        <v>-870.96447106804851</v>
      </c>
      <c r="G107" s="118">
        <f ca="1">(F107-E107)/E107</f>
        <v>-6.8203196155348094E-8</v>
      </c>
      <c r="I107" s="105"/>
      <c r="K107" s="106">
        <f t="shared" si="9"/>
        <v>5</v>
      </c>
      <c r="L107" s="103" t="s">
        <v>131</v>
      </c>
      <c r="M107" s="103" t="s">
        <v>128</v>
      </c>
      <c r="N107" s="107">
        <v>-870.96453047061323</v>
      </c>
      <c r="O107" s="107">
        <v>-898.78614645647235</v>
      </c>
      <c r="P107" s="107">
        <v>-963.20110371557416</v>
      </c>
      <c r="Q107" s="107">
        <v>-946.88655123105559</v>
      </c>
      <c r="R107" t="s">
        <v>408</v>
      </c>
      <c r="AB107" s="169">
        <v>138139.36499999999</v>
      </c>
      <c r="AC107" s="169">
        <v>-174749.9</v>
      </c>
      <c r="AD107" s="170">
        <v>70057</v>
      </c>
    </row>
    <row r="108" spans="2:30" ht="15.6">
      <c r="B108" s="106">
        <f t="shared" si="8"/>
        <v>6</v>
      </c>
      <c r="C108" s="105" t="s">
        <v>130</v>
      </c>
      <c r="D108" s="103" t="s">
        <v>123</v>
      </c>
      <c r="E108" s="113" cm="1">
        <f t="array" ref="E108">INDEX(N108:Q108,case_number)</f>
        <v>5.23259944179729E-2</v>
      </c>
      <c r="F108" s="113" cm="1">
        <f t="array" aca="1" ref="F108" ca="1">INDIRECT(sheet_name&amp;"!true_force_initial_slope")</f>
        <v>5.2316546017139129E-2</v>
      </c>
      <c r="G108" s="118">
        <f ca="1">(F108-E108)/E108</f>
        <v>-1.8056801287518007E-4</v>
      </c>
      <c r="H108" t="s">
        <v>359</v>
      </c>
      <c r="I108" s="103"/>
      <c r="K108" s="106">
        <f t="shared" si="9"/>
        <v>6</v>
      </c>
      <c r="L108" s="105" t="s">
        <v>130</v>
      </c>
      <c r="M108" s="103" t="s">
        <v>123</v>
      </c>
      <c r="N108" s="109">
        <v>5.23259944179729E-2</v>
      </c>
      <c r="O108" s="109">
        <v>5.3572144992134189E-2</v>
      </c>
      <c r="P108" s="109">
        <v>5.7848229541835841E-2</v>
      </c>
      <c r="Q108" s="109">
        <v>5.6412170763454492E-2</v>
      </c>
      <c r="R108" t="s">
        <v>408</v>
      </c>
      <c r="AB108" s="169">
        <v>165767.23800000001</v>
      </c>
      <c r="AC108" s="169">
        <v>-174749.9</v>
      </c>
      <c r="AD108" s="170">
        <v>39169.800000000003</v>
      </c>
    </row>
    <row r="109" spans="2:30" ht="15.6">
      <c r="B109" s="106">
        <f t="shared" si="8"/>
        <v>7</v>
      </c>
      <c r="C109" s="103" t="s">
        <v>129</v>
      </c>
      <c r="D109" s="103" t="s">
        <v>128</v>
      </c>
      <c r="E109" s="108" cm="1">
        <f t="array" ref="E109">INDEX(N109:Q109,case_number)</f>
        <v>907.98152578482609</v>
      </c>
      <c r="F109" s="108" cm="1">
        <f t="array" aca="1" ref="F109" ca="1">INDIRECT(sheet_name&amp;"!point4.Fs")</f>
        <v>907.98514203480443</v>
      </c>
      <c r="G109" s="118">
        <f ca="1">(F109-E109)/E109</f>
        <v>3.9827351941000325E-6</v>
      </c>
      <c r="I109" s="105"/>
      <c r="K109" s="106">
        <f t="shared" si="9"/>
        <v>7</v>
      </c>
      <c r="L109" s="103" t="s">
        <v>129</v>
      </c>
      <c r="M109" s="103" t="s">
        <v>128</v>
      </c>
      <c r="N109" s="108">
        <v>907.98152578482609</v>
      </c>
      <c r="O109" s="108">
        <v>906.75955131408989</v>
      </c>
      <c r="P109" s="108">
        <v>903.20101055371447</v>
      </c>
      <c r="Q109" s="108">
        <v>904.27680504426189</v>
      </c>
      <c r="R109" t="s">
        <v>408</v>
      </c>
      <c r="AB109" s="169">
        <v>193395.111</v>
      </c>
      <c r="AC109" s="169">
        <v>-174749.9</v>
      </c>
      <c r="AD109" s="170">
        <v>16842.400000000001</v>
      </c>
    </row>
    <row r="110" spans="2:30" ht="15.6">
      <c r="B110" s="106">
        <f t="shared" si="8"/>
        <v>8</v>
      </c>
      <c r="C110" s="105" t="s">
        <v>127</v>
      </c>
      <c r="D110" s="103" t="s">
        <v>123</v>
      </c>
      <c r="E110" s="110" cm="1">
        <f t="array" ref="E110">INDEX(N110:Q110,case_number)</f>
        <v>7.166108187108261E-2</v>
      </c>
      <c r="F110" s="104"/>
      <c r="G110" s="104"/>
      <c r="H110" t="s">
        <v>307</v>
      </c>
      <c r="I110" s="105"/>
      <c r="K110" s="106">
        <f t="shared" si="9"/>
        <v>8</v>
      </c>
      <c r="L110" s="105" t="s">
        <v>127</v>
      </c>
      <c r="M110" s="103" t="s">
        <v>123</v>
      </c>
      <c r="N110" s="113">
        <v>7.166108187108261E-2</v>
      </c>
      <c r="O110" s="113">
        <v>7.4266768798913363E-2</v>
      </c>
      <c r="P110" s="113">
        <v>8.0299675448625166E-2</v>
      </c>
      <c r="Q110" s="113">
        <v>7.8771704673529799E-2</v>
      </c>
      <c r="R110" t="s">
        <v>307</v>
      </c>
      <c r="AB110" s="169">
        <v>221022.984</v>
      </c>
      <c r="AC110" s="169">
        <v>-174749.9</v>
      </c>
      <c r="AD110" s="170">
        <v>6154.11</v>
      </c>
    </row>
    <row r="111" spans="2:30" ht="15.6">
      <c r="B111" s="106">
        <f t="shared" si="8"/>
        <v>9</v>
      </c>
      <c r="C111" s="105" t="s">
        <v>127</v>
      </c>
      <c r="D111" s="103" t="s">
        <v>123</v>
      </c>
      <c r="E111" s="110" cm="1">
        <f t="array" ref="E111">INDEX(N111:Q111,case_number)</f>
        <v>7.166108187108261E-2</v>
      </c>
      <c r="F111" s="104" cm="1">
        <f t="array" aca="1" ref="F111" ca="1">INDIRECT(sheet_name&amp;"!polynomial_initial_slope")</f>
        <v>7.1660231504206029E-2</v>
      </c>
      <c r="G111" s="118">
        <f ca="1">(F111-E111)/E111</f>
        <v>-1.186650905035391E-5</v>
      </c>
      <c r="H111" t="s">
        <v>306</v>
      </c>
      <c r="I111" s="105"/>
      <c r="K111" s="106">
        <f t="shared" si="9"/>
        <v>9</v>
      </c>
      <c r="L111" s="105" t="s">
        <v>127</v>
      </c>
      <c r="M111" s="103" t="s">
        <v>123</v>
      </c>
      <c r="N111" s="113">
        <v>7.166108187108261E-2</v>
      </c>
      <c r="O111" s="113">
        <v>7.4266768798913363E-2</v>
      </c>
      <c r="P111" s="113">
        <v>8.0299675448625166E-2</v>
      </c>
      <c r="Q111" s="113">
        <v>7.8771704673529799E-2</v>
      </c>
      <c r="R111" t="s">
        <v>306</v>
      </c>
      <c r="AB111" s="169">
        <v>248650.85699999999</v>
      </c>
      <c r="AC111" s="169">
        <v>-174749.9</v>
      </c>
      <c r="AD111" s="170">
        <v>1571.42</v>
      </c>
    </row>
    <row r="112" spans="2:30" ht="15.6">
      <c r="B112" s="106">
        <f t="shared" si="8"/>
        <v>10</v>
      </c>
      <c r="C112" s="105" t="s">
        <v>125</v>
      </c>
      <c r="D112" s="103" t="s">
        <v>121</v>
      </c>
      <c r="E112" s="128"/>
      <c r="F112" s="128"/>
      <c r="G112" s="128"/>
      <c r="H112" t="s">
        <v>270</v>
      </c>
      <c r="I112" s="105"/>
      <c r="K112" s="106">
        <f t="shared" si="9"/>
        <v>10</v>
      </c>
      <c r="L112" s="105" t="s">
        <v>125</v>
      </c>
      <c r="M112" s="103" t="s">
        <v>121</v>
      </c>
      <c r="N112" s="128"/>
      <c r="O112" s="128"/>
      <c r="P112" s="128"/>
      <c r="Q112" s="128"/>
      <c r="R112" t="s">
        <v>270</v>
      </c>
      <c r="AB112" s="169">
        <v>276278.73</v>
      </c>
      <c r="AC112" s="169">
        <v>-174749.9</v>
      </c>
      <c r="AD112" s="170">
        <v>869.21500000000003</v>
      </c>
    </row>
    <row r="113" spans="2:30">
      <c r="B113" s="106">
        <f t="shared" si="8"/>
        <v>11</v>
      </c>
      <c r="C113" s="105" t="s">
        <v>2</v>
      </c>
      <c r="D113" s="103" t="s">
        <v>126</v>
      </c>
      <c r="E113" s="107" cm="1">
        <f t="array" ref="E113">INDEX(N113:Q113,case_number)</f>
        <v>29.898097318306775</v>
      </c>
      <c r="F113" s="107" cm="1">
        <f t="array" aca="1" ref="F113" ca="1">INDIRECT(sheet_name&amp;"!a_star")</f>
        <v>29.898097318306771</v>
      </c>
      <c r="G113" s="118">
        <f ca="1">(F113-E113)/E113</f>
        <v>-1.1882741704185818E-16</v>
      </c>
      <c r="I113" s="105"/>
      <c r="K113" s="106">
        <f t="shared" si="9"/>
        <v>11</v>
      </c>
      <c r="L113" s="105" t="s">
        <v>2</v>
      </c>
      <c r="M113" s="103" t="s">
        <v>126</v>
      </c>
      <c r="N113" s="107">
        <v>29.898097318306775</v>
      </c>
      <c r="O113" s="107">
        <v>29.898097318306775</v>
      </c>
      <c r="P113" s="107">
        <v>29.898097318306775</v>
      </c>
      <c r="Q113" s="107">
        <v>29.898097318306775</v>
      </c>
      <c r="R113" t="s">
        <v>408</v>
      </c>
      <c r="AB113" s="169">
        <v>303906.603</v>
      </c>
      <c r="AC113" s="169">
        <v>-174749.9</v>
      </c>
      <c r="AD113" s="170">
        <v>109.21</v>
      </c>
    </row>
    <row r="114" spans="2:30" ht="15.6">
      <c r="B114" s="106"/>
      <c r="C114" s="105" t="s">
        <v>268</v>
      </c>
      <c r="D114" s="103" t="s">
        <v>267</v>
      </c>
      <c r="E114" s="114" cm="1">
        <f t="array" ref="E114">INDEX(N114:Q114,case_number)</f>
        <v>8.6870984986007647E-9</v>
      </c>
      <c r="F114" s="114" cm="1">
        <f t="array" aca="1" ref="F114" ca="1">1/(INDIRECT(sheet_name&amp;"!bolt.bending_stiffness")*1000000)</f>
        <v>8.6873267314791757E-9</v>
      </c>
      <c r="G114" s="118">
        <f ca="1">(F114-E114)/E114</f>
        <v>2.6272624679890713E-5</v>
      </c>
      <c r="H114" t="s">
        <v>269</v>
      </c>
      <c r="I114" s="105"/>
      <c r="K114" s="106"/>
      <c r="L114" s="105" t="s">
        <v>268</v>
      </c>
      <c r="M114" s="103" t="s">
        <v>267</v>
      </c>
      <c r="N114" s="114">
        <v>8.6870984986007647E-9</v>
      </c>
      <c r="O114" s="114">
        <v>8.6870984986007647E-9</v>
      </c>
      <c r="P114" s="114">
        <v>8.6870984986007647E-9</v>
      </c>
      <c r="Q114" s="114">
        <v>8.6870984986007647E-9</v>
      </c>
      <c r="R114" t="s">
        <v>412</v>
      </c>
      <c r="AB114" s="169">
        <v>331534.47600000002</v>
      </c>
      <c r="AC114" s="169">
        <v>-174749.9</v>
      </c>
      <c r="AD114" s="170">
        <v>118.9</v>
      </c>
    </row>
    <row r="115" spans="2:30" ht="15.6">
      <c r="B115" s="106">
        <f>B113+1</f>
        <v>12</v>
      </c>
      <c r="C115" s="105" t="s">
        <v>125</v>
      </c>
      <c r="D115" s="103" t="s">
        <v>121</v>
      </c>
      <c r="E115" s="128"/>
      <c r="F115" s="128"/>
      <c r="G115" s="128"/>
      <c r="H115" t="s">
        <v>266</v>
      </c>
      <c r="I115" s="105"/>
      <c r="K115" s="106">
        <f>K113+1</f>
        <v>12</v>
      </c>
      <c r="L115" s="105" t="s">
        <v>125</v>
      </c>
      <c r="M115" s="103" t="s">
        <v>121</v>
      </c>
      <c r="N115" s="128"/>
      <c r="O115" s="128"/>
      <c r="P115" s="128"/>
      <c r="Q115" s="128"/>
      <c r="R115" t="s">
        <v>266</v>
      </c>
      <c r="AB115" s="169">
        <v>359162.34899999999</v>
      </c>
      <c r="AC115" s="169">
        <v>-174749.9</v>
      </c>
      <c r="AD115" s="170">
        <v>36.094999999999999</v>
      </c>
    </row>
    <row r="116" spans="2:30" ht="15.6">
      <c r="B116" s="106">
        <f>B115+1</f>
        <v>13</v>
      </c>
      <c r="C116" s="105" t="s">
        <v>265</v>
      </c>
      <c r="D116" s="103" t="s">
        <v>123</v>
      </c>
      <c r="E116" s="128"/>
      <c r="F116" s="128"/>
      <c r="G116" s="128"/>
      <c r="H116" t="s">
        <v>264</v>
      </c>
      <c r="I116" s="105"/>
      <c r="K116" s="106">
        <f t="shared" si="9"/>
        <v>13</v>
      </c>
      <c r="L116" s="105" t="s">
        <v>265</v>
      </c>
      <c r="M116" s="103" t="s">
        <v>123</v>
      </c>
      <c r="N116" s="128"/>
      <c r="O116" s="128"/>
      <c r="P116" s="128"/>
      <c r="Q116" s="128"/>
      <c r="R116" t="s">
        <v>264</v>
      </c>
      <c r="AB116" s="169">
        <v>386790.22200000001</v>
      </c>
      <c r="AC116" s="169">
        <v>-174749.9</v>
      </c>
      <c r="AD116" s="170">
        <v>23.25</v>
      </c>
    </row>
    <row r="117" spans="2:30" ht="15.6">
      <c r="B117" s="106">
        <f>B116+1</f>
        <v>14</v>
      </c>
      <c r="C117" s="105" t="s">
        <v>263</v>
      </c>
      <c r="D117" s="103" t="s">
        <v>123</v>
      </c>
      <c r="E117" s="128"/>
      <c r="F117" s="128"/>
      <c r="G117" s="128"/>
      <c r="H117" t="s">
        <v>264</v>
      </c>
      <c r="I117" s="105"/>
      <c r="K117" s="106">
        <f t="shared" si="9"/>
        <v>14</v>
      </c>
      <c r="L117" s="105" t="s">
        <v>263</v>
      </c>
      <c r="M117" s="103" t="s">
        <v>123</v>
      </c>
      <c r="N117" s="128"/>
      <c r="O117" s="128"/>
      <c r="P117" s="128"/>
      <c r="Q117" s="128"/>
      <c r="R117" t="s">
        <v>264</v>
      </c>
      <c r="AB117" s="169">
        <v>414418.09499999997</v>
      </c>
      <c r="AC117" s="169">
        <v>-174749.9</v>
      </c>
      <c r="AD117" s="170">
        <v>25.65</v>
      </c>
    </row>
    <row r="118" spans="2:30" ht="15.6">
      <c r="B118" s="106">
        <f>B117+1</f>
        <v>15</v>
      </c>
      <c r="C118" s="105" t="s">
        <v>124</v>
      </c>
      <c r="D118" s="103" t="s">
        <v>123</v>
      </c>
      <c r="E118" s="152" cm="1">
        <f t="array" ref="E118">INDEX(N118:Q118,case_number)</f>
        <v>0.42488662205843325</v>
      </c>
      <c r="F118" s="113" t="s">
        <v>86</v>
      </c>
      <c r="G118" s="118" t="s">
        <v>86</v>
      </c>
      <c r="H118" t="s">
        <v>307</v>
      </c>
      <c r="K118" s="106">
        <f t="shared" si="9"/>
        <v>15</v>
      </c>
      <c r="L118" s="105" t="s">
        <v>124</v>
      </c>
      <c r="M118" s="103" t="s">
        <v>123</v>
      </c>
      <c r="N118" s="109">
        <v>0.42488662205843325</v>
      </c>
      <c r="O118" s="109">
        <v>0.43423432032819759</v>
      </c>
      <c r="P118" s="109">
        <v>0.43782789495007179</v>
      </c>
      <c r="Q118" s="109">
        <v>0.44080799755138517</v>
      </c>
      <c r="R118" t="s">
        <v>307</v>
      </c>
      <c r="AB118" s="169">
        <v>469673.84100000001</v>
      </c>
      <c r="AC118" s="169">
        <v>-174749.9</v>
      </c>
      <c r="AD118" s="170">
        <v>3.11</v>
      </c>
    </row>
    <row r="119" spans="2:30" ht="15.6">
      <c r="C119" s="105" t="s">
        <v>124</v>
      </c>
      <c r="D119" s="103" t="s">
        <v>123</v>
      </c>
      <c r="E119" s="152" cm="1">
        <f t="array" ref="E119">INDEX(N119:Q119,case_number)</f>
        <v>0.11482573997492848</v>
      </c>
      <c r="F119" s="109" cm="1">
        <f t="array" aca="1" ref="F119" ca="1">INDIRECT(sheet_name&amp;"!true_moment_initial_slope")</f>
        <v>0.12158456242738384</v>
      </c>
      <c r="G119" s="118">
        <f ca="1">(F119-E119)/E119</f>
        <v>5.886156234596103E-2</v>
      </c>
      <c r="H119" t="s">
        <v>306</v>
      </c>
      <c r="I119" s="105"/>
      <c r="L119" s="105" t="s">
        <v>124</v>
      </c>
      <c r="M119" s="103" t="s">
        <v>123</v>
      </c>
      <c r="N119" s="114">
        <v>0.11482573997492848</v>
      </c>
      <c r="O119" s="114">
        <v>0.11907085147375052</v>
      </c>
      <c r="P119" s="114">
        <v>0.12769348965476385</v>
      </c>
      <c r="Q119" s="114">
        <v>0.12576239496461744</v>
      </c>
      <c r="R119" t="s">
        <v>306</v>
      </c>
      <c r="AB119" s="169">
        <v>0.1330700007</v>
      </c>
      <c r="AC119" s="169">
        <v>-153435.1</v>
      </c>
      <c r="AD119" s="170">
        <v>18138600</v>
      </c>
    </row>
    <row r="120" spans="2:30" ht="15.6">
      <c r="B120" s="106">
        <f>B118+1</f>
        <v>16</v>
      </c>
      <c r="C120" s="105" t="s">
        <v>122</v>
      </c>
      <c r="D120" s="103" t="s">
        <v>121</v>
      </c>
      <c r="E120" s="153" cm="1">
        <f t="array" ref="E120">INDEX(N120:Q120,case_number)</f>
        <v>-207.51133981528713</v>
      </c>
      <c r="F120" s="108" t="s">
        <v>86</v>
      </c>
      <c r="G120" s="118" t="s">
        <v>86</v>
      </c>
      <c r="H120" t="s">
        <v>307</v>
      </c>
      <c r="K120" s="106">
        <f>K118+1</f>
        <v>16</v>
      </c>
      <c r="L120" s="105" t="s">
        <v>122</v>
      </c>
      <c r="M120" s="103" t="s">
        <v>121</v>
      </c>
      <c r="N120" s="108">
        <v>-207.51133981528713</v>
      </c>
      <c r="O120" s="108">
        <v>-218.11723360203516</v>
      </c>
      <c r="P120" s="108">
        <v>-234.02362974848978</v>
      </c>
      <c r="Q120" s="108">
        <v>-232.02073342868525</v>
      </c>
      <c r="R120" t="s">
        <v>307</v>
      </c>
      <c r="AB120" s="169">
        <v>27628.027699999999</v>
      </c>
      <c r="AC120" s="169">
        <v>-153435.1</v>
      </c>
      <c r="AD120" s="170">
        <v>1574830</v>
      </c>
    </row>
    <row r="121" spans="2:30" ht="15.6">
      <c r="C121" s="105" t="s">
        <v>122</v>
      </c>
      <c r="D121" s="103" t="s">
        <v>121</v>
      </c>
      <c r="E121" s="153" cm="1">
        <f t="array" ref="E121">INDEX(N121:Q121,case_number)</f>
        <v>-54.887397068156773</v>
      </c>
      <c r="F121" s="109" cm="1">
        <f t="array" aca="1" ref="F121" ca="1">INDIRECT(sheet_name&amp;"!point4.Ms")</f>
        <v>-57.472764381928819</v>
      </c>
      <c r="G121" s="118">
        <f ca="1">(F121-E121)/E121</f>
        <v>4.7103113863491287E-2</v>
      </c>
      <c r="H121" t="s">
        <v>306</v>
      </c>
      <c r="L121" s="105" t="s">
        <v>122</v>
      </c>
      <c r="M121" s="103" t="s">
        <v>121</v>
      </c>
      <c r="N121" s="108">
        <v>-54.887397068156773</v>
      </c>
      <c r="O121" s="108">
        <v>-58.578117823231707</v>
      </c>
      <c r="P121" s="108">
        <v>-66.836691647303212</v>
      </c>
      <c r="Q121" s="108">
        <v>-64.848711142833395</v>
      </c>
      <c r="R121" t="s">
        <v>306</v>
      </c>
      <c r="AB121" s="169">
        <v>55255.900699999998</v>
      </c>
      <c r="AC121" s="169">
        <v>-153435.1</v>
      </c>
      <c r="AD121" s="170">
        <v>915602</v>
      </c>
    </row>
    <row r="122" spans="2:30" ht="15.6">
      <c r="C122" s="105" t="s">
        <v>336</v>
      </c>
      <c r="D122" s="103" t="s">
        <v>128</v>
      </c>
      <c r="E122" s="153" cm="1">
        <f t="array" ref="E122">INDEX(N122:Q122,case_number)</f>
        <v>-105.72</v>
      </c>
      <c r="F122" s="109" cm="1">
        <f t="array" aca="1" ref="F122" ca="1">INDIRECT(sheet_name&amp;"!DZdwDZ")</f>
        <v>-105.72</v>
      </c>
      <c r="G122" s="118">
        <f t="shared" ref="G122:G128" ca="1" si="10">(F122-E122)/E122</f>
        <v>0</v>
      </c>
      <c r="H122" s="150" t="s">
        <v>331</v>
      </c>
      <c r="L122" s="105" t="s">
        <v>336</v>
      </c>
      <c r="M122" s="103" t="s">
        <v>128</v>
      </c>
      <c r="N122" s="109">
        <v>-105.72</v>
      </c>
      <c r="O122" s="109">
        <v>-105.72</v>
      </c>
      <c r="P122" s="109">
        <v>-105.72</v>
      </c>
      <c r="Q122" s="109">
        <v>-105.72</v>
      </c>
      <c r="AB122" s="169">
        <v>82883.619000000006</v>
      </c>
      <c r="AC122" s="169">
        <v>-153435.1</v>
      </c>
      <c r="AD122" s="170">
        <v>428559</v>
      </c>
    </row>
    <row r="123" spans="2:30" ht="16.2">
      <c r="C123" s="151" t="s">
        <v>337</v>
      </c>
      <c r="D123" s="103" t="s">
        <v>121</v>
      </c>
      <c r="E123" s="153" cm="1">
        <f t="array" ref="E123">INDEX(N123:Q123,case_number)</f>
        <v>0</v>
      </c>
      <c r="F123" s="109" cm="1">
        <f t="array" aca="1" ref="F123" ca="1">INDIRECT(sheet_name&amp;"!MZTlow1")</f>
        <v>0</v>
      </c>
      <c r="G123" s="118"/>
      <c r="H123" s="150" t="s">
        <v>331</v>
      </c>
      <c r="L123" s="151" t="s">
        <v>337</v>
      </c>
      <c r="M123" s="103" t="s">
        <v>121</v>
      </c>
      <c r="N123" s="113">
        <v>0</v>
      </c>
      <c r="O123" s="113">
        <v>0</v>
      </c>
      <c r="P123" s="113">
        <v>0</v>
      </c>
      <c r="Q123" s="113">
        <v>0</v>
      </c>
      <c r="R123" s="150" t="s">
        <v>413</v>
      </c>
      <c r="AB123" s="169">
        <v>110511.492</v>
      </c>
      <c r="AC123" s="169">
        <v>-153435.1</v>
      </c>
      <c r="AD123" s="170">
        <v>194489</v>
      </c>
    </row>
    <row r="124" spans="2:30" ht="16.2">
      <c r="C124" s="151" t="s">
        <v>338</v>
      </c>
      <c r="D124" s="103" t="s">
        <v>121</v>
      </c>
      <c r="E124" s="153" cm="1">
        <f t="array" ref="E124">INDEX(N124:Q124,case_number)</f>
        <v>-45.700383679716374</v>
      </c>
      <c r="F124" s="109" cm="1">
        <f t="array" aca="1" ref="F124" ca="1">INDIRECT(sheet_name&amp;"!MZThigh1")</f>
        <v>-45.698855457904237</v>
      </c>
      <c r="G124" s="118">
        <f t="shared" ca="1" si="10"/>
        <v>-3.3440021485319849E-5</v>
      </c>
      <c r="H124" s="150" t="s">
        <v>331</v>
      </c>
      <c r="L124" s="151" t="s">
        <v>338</v>
      </c>
      <c r="M124" s="103" t="s">
        <v>121</v>
      </c>
      <c r="N124" s="109">
        <v>-45.700383679716374</v>
      </c>
      <c r="O124" s="109">
        <v>-46.146864492188953</v>
      </c>
      <c r="P124" s="109">
        <v>-46.318506972558922</v>
      </c>
      <c r="Q124" s="109">
        <v>-46.460847749107309</v>
      </c>
      <c r="R124" s="150" t="s">
        <v>413</v>
      </c>
      <c r="AB124" s="169">
        <v>138139.36499999999</v>
      </c>
      <c r="AC124" s="169">
        <v>-153435.1</v>
      </c>
      <c r="AD124" s="170">
        <v>84338.3</v>
      </c>
    </row>
    <row r="125" spans="2:30" ht="16.2">
      <c r="C125" s="151" t="s">
        <v>339</v>
      </c>
      <c r="D125" s="103" t="s">
        <v>121</v>
      </c>
      <c r="E125" s="153" cm="1">
        <f t="array" ref="E125">INDEX(N125:Q125,case_number)</f>
        <v>-10.958253618628085</v>
      </c>
      <c r="F125" s="109" cm="1">
        <f t="array" aca="1" ref="F125" ca="1">INDIRECT(sheet_name&amp;"!MZT1_")</f>
        <v>-10.957886527658451</v>
      </c>
      <c r="G125" s="118">
        <f t="shared" ca="1" si="10"/>
        <v>-3.3499039391664849E-5</v>
      </c>
      <c r="H125" s="150" t="s">
        <v>332</v>
      </c>
      <c r="L125" s="151" t="s">
        <v>339</v>
      </c>
      <c r="M125" s="103" t="s">
        <v>121</v>
      </c>
      <c r="N125" s="113">
        <v>-10.958253618628085</v>
      </c>
      <c r="O125" s="113">
        <v>-11.368540699016252</v>
      </c>
      <c r="P125" s="113">
        <v>-12.095699098555864</v>
      </c>
      <c r="Q125" s="113">
        <v>-11.961439239109065</v>
      </c>
      <c r="R125" s="150" t="s">
        <v>413</v>
      </c>
      <c r="AB125" s="169">
        <v>165767.23800000001</v>
      </c>
      <c r="AC125" s="169">
        <v>-153435.1</v>
      </c>
      <c r="AD125" s="170">
        <v>45762.9</v>
      </c>
    </row>
    <row r="126" spans="2:30" ht="16.2">
      <c r="C126" s="151" t="s">
        <v>337</v>
      </c>
      <c r="D126" s="103" t="s">
        <v>121</v>
      </c>
      <c r="E126" s="153" cm="1">
        <f t="array" ref="E126">INDEX(N126:Q126,case_number)</f>
        <v>3.3647664563249305E-3</v>
      </c>
      <c r="F126" s="109" cm="1">
        <f t="array" aca="1" ref="F126" ca="1">INDIRECT(sheet_name&amp;"!MZTlow2")</f>
        <v>3.3646012523459714E-3</v>
      </c>
      <c r="G126" s="118">
        <f t="shared" ca="1" si="10"/>
        <v>-4.9098200752834491E-5</v>
      </c>
      <c r="H126" s="150" t="s">
        <v>332</v>
      </c>
      <c r="L126" s="151" t="s">
        <v>337</v>
      </c>
      <c r="M126" s="103" t="s">
        <v>121</v>
      </c>
      <c r="N126" s="113">
        <v>3.3647664563249305E-3</v>
      </c>
      <c r="O126" s="113">
        <v>3.4448988207091565E-3</v>
      </c>
      <c r="P126" s="113">
        <v>3.7198678111179358E-3</v>
      </c>
      <c r="Q126" s="113">
        <v>3.6275236051347463E-3</v>
      </c>
      <c r="R126" s="150" t="s">
        <v>414</v>
      </c>
      <c r="AB126" s="169">
        <v>193395.111</v>
      </c>
      <c r="AC126" s="169">
        <v>-153435.1</v>
      </c>
      <c r="AD126" s="170">
        <v>23205.599999999999</v>
      </c>
    </row>
    <row r="127" spans="2:30" ht="16.2">
      <c r="C127" s="151" t="s">
        <v>338</v>
      </c>
      <c r="D127" s="103" t="s">
        <v>121</v>
      </c>
      <c r="E127" s="153" cm="1">
        <f t="array" ref="E127">INDEX(N127:Q127,case_number)</f>
        <v>-45.657196773952144</v>
      </c>
      <c r="F127" s="109" cm="1">
        <f t="array" aca="1" ref="F127" ca="1">INDIRECT(sheet_name&amp;"!MZThigh2")</f>
        <v>-45.655669996311055</v>
      </c>
      <c r="G127" s="118">
        <f t="shared" ca="1" si="10"/>
        <v>-3.3440021485517031E-5</v>
      </c>
      <c r="H127" s="150" t="s">
        <v>332</v>
      </c>
      <c r="L127" s="151" t="s">
        <v>338</v>
      </c>
      <c r="M127" s="103" t="s">
        <v>121</v>
      </c>
      <c r="N127" s="109">
        <v>-45.657196773952144</v>
      </c>
      <c r="O127" s="109">
        <v>-46.103255661635004</v>
      </c>
      <c r="P127" s="109">
        <v>-46.274735939698822</v>
      </c>
      <c r="Q127" s="109">
        <v>-46.41694220407885</v>
      </c>
      <c r="R127" s="150" t="s">
        <v>414</v>
      </c>
      <c r="AB127" s="169">
        <v>221022.984</v>
      </c>
      <c r="AC127" s="169">
        <v>-153435.1</v>
      </c>
      <c r="AD127" s="170">
        <v>10558.8</v>
      </c>
    </row>
    <row r="128" spans="2:30" ht="16.2">
      <c r="C128" s="151" t="s">
        <v>339</v>
      </c>
      <c r="D128" s="103" t="s">
        <v>121</v>
      </c>
      <c r="E128" s="153" cm="1">
        <f t="array" ref="E128">INDEX(N128:Q128,case_number)</f>
        <v>-10.946771044630593</v>
      </c>
      <c r="F128" s="109" cm="1">
        <f t="array" aca="1" ref="F128" ca="1">INDIRECT(sheet_name&amp;"!MZT2_")</f>
        <v>-10.946404378279803</v>
      </c>
      <c r="G128" s="118">
        <f t="shared" ca="1" si="10"/>
        <v>-3.3495388667067481E-5</v>
      </c>
      <c r="L128" s="151" t="s">
        <v>339</v>
      </c>
      <c r="M128" s="103" t="s">
        <v>121</v>
      </c>
      <c r="N128" s="113">
        <v>-10.946771044630593</v>
      </c>
      <c r="O128" s="113">
        <v>-11.356633613868878</v>
      </c>
      <c r="P128" s="113">
        <v>-12.082929749590388</v>
      </c>
      <c r="Q128" s="113">
        <v>-11.948862999612604</v>
      </c>
      <c r="R128" s="150" t="s">
        <v>414</v>
      </c>
      <c r="AB128" s="169">
        <v>248650.85699999999</v>
      </c>
      <c r="AC128" s="169">
        <v>-153435.1</v>
      </c>
      <c r="AD128" s="170">
        <v>5582.2</v>
      </c>
    </row>
    <row r="129" spans="3:30" ht="16.2">
      <c r="C129" s="151" t="s">
        <v>340</v>
      </c>
      <c r="D129" s="103" t="s">
        <v>121</v>
      </c>
      <c r="E129" s="153" cm="1">
        <f t="array" ref="E129">INDEX(N129:Q129,case_number)</f>
        <v>-10.958253618628085</v>
      </c>
      <c r="F129" s="109" cm="1">
        <f t="array" aca="1" ref="F129" ca="1">INDIRECT(sheet_name&amp;"!point1.Ms")</f>
        <v>-10.957886527658451</v>
      </c>
      <c r="G129" s="118">
        <f ca="1">(F129-E129)/E129</f>
        <v>-3.3499039391664849E-5</v>
      </c>
      <c r="L129" s="151" t="s">
        <v>340</v>
      </c>
      <c r="M129" s="103" t="s">
        <v>121</v>
      </c>
      <c r="N129" s="108">
        <v>-10.958253618628085</v>
      </c>
      <c r="O129" s="108">
        <v>-11.368540699016252</v>
      </c>
      <c r="P129" s="108">
        <v>-12.095699098555864</v>
      </c>
      <c r="Q129" s="108">
        <v>-11.961439239109065</v>
      </c>
      <c r="AB129" s="169">
        <v>276278.73</v>
      </c>
      <c r="AC129" s="169">
        <v>-153435.1</v>
      </c>
      <c r="AD129" s="170">
        <v>2217.0500000000002</v>
      </c>
    </row>
    <row r="130" spans="3:30" ht="16.2">
      <c r="C130" s="151" t="s">
        <v>341</v>
      </c>
      <c r="D130" s="103" t="s">
        <v>121</v>
      </c>
      <c r="E130" s="108" cm="1">
        <f t="array" ref="E130">INDEX(N130:Q130,case_number)</f>
        <v>601.80938319421227</v>
      </c>
      <c r="F130" s="109" cm="1">
        <f t="array" aca="1" ref="F130" ca="1">INDIRECT(sheet_name&amp;"!point2.Ms")</f>
        <v>601.78992415587925</v>
      </c>
      <c r="G130" s="118">
        <f ca="1">(F130-E130)/E130</f>
        <v>-3.2334222224556755E-5</v>
      </c>
      <c r="L130" s="151" t="s">
        <v>341</v>
      </c>
      <c r="M130" s="103" t="s">
        <v>121</v>
      </c>
      <c r="N130" s="108">
        <v>601.80938319421227</v>
      </c>
      <c r="O130" s="108">
        <v>577.12482332039554</v>
      </c>
      <c r="P130" s="108">
        <v>544.40754098271304</v>
      </c>
      <c r="Q130" s="108">
        <v>548.32852954115924</v>
      </c>
      <c r="AB130" s="169">
        <v>303906.603</v>
      </c>
      <c r="AC130" s="169">
        <v>-153435.1</v>
      </c>
      <c r="AD130" s="170">
        <v>1169.0899999999999</v>
      </c>
    </row>
    <row r="131" spans="3:30" ht="16.2">
      <c r="C131" s="151" t="s">
        <v>342</v>
      </c>
      <c r="D131" s="103" t="s">
        <v>121</v>
      </c>
      <c r="E131" s="108" cm="1">
        <f t="array" ref="E131">INDEX(N131:Q131,case_number)</f>
        <v>23.602430635856763</v>
      </c>
      <c r="F131" s="109" cm="1">
        <f t="array" aca="1" ref="F131" ca="1">INDIRECT(sheet_name&amp;"!point3.Ms")</f>
        <v>23.60158750982303</v>
      </c>
      <c r="G131" s="118">
        <f ca="1">(F131-E131)/E131</f>
        <v>-3.5722000277870251E-5</v>
      </c>
      <c r="H131" t="s">
        <v>333</v>
      </c>
      <c r="L131" s="151" t="s">
        <v>342</v>
      </c>
      <c r="M131" s="103" t="s">
        <v>121</v>
      </c>
      <c r="N131" s="108">
        <v>23.602430635856763</v>
      </c>
      <c r="O131" s="108">
        <v>23.794960601832393</v>
      </c>
      <c r="P131" s="108">
        <v>24.810243083291869</v>
      </c>
      <c r="Q131" s="108">
        <v>24.427516876043651</v>
      </c>
      <c r="AB131" s="169">
        <v>331534.47600000002</v>
      </c>
      <c r="AC131" s="169">
        <v>-153435.1</v>
      </c>
      <c r="AD131" s="170">
        <v>326.435</v>
      </c>
    </row>
    <row r="132" spans="3:30" ht="15.6">
      <c r="C132" s="112" t="s">
        <v>343</v>
      </c>
      <c r="E132" s="108" cm="1">
        <f t="array" ref="E132">INDEX(N132:Q132,case_number)</f>
        <v>1.3265420536534502E-4</v>
      </c>
      <c r="F132" s="109" cm="1">
        <f t="array" aca="1" ref="F132" ca="1">INDIRECT(sheet_name&amp;"!Ms_coeff.tens.2")*1000^2</f>
        <v>1.3264997543311835E-4</v>
      </c>
      <c r="G132" s="118">
        <f t="shared" ref="G132:G136" ca="1" si="11">(F132-E132)/E132</f>
        <v>-3.1886906374504367E-5</v>
      </c>
      <c r="H132" t="s">
        <v>334</v>
      </c>
      <c r="L132" s="112" t="s">
        <v>343</v>
      </c>
      <c r="N132" s="154">
        <v>1.3265420536534502E-4</v>
      </c>
      <c r="O132" s="154">
        <v>1.3443445704794128E-4</v>
      </c>
      <c r="P132" s="154">
        <v>1.3386327403836965E-4</v>
      </c>
      <c r="Q132" s="154">
        <v>1.3510869145980849E-4</v>
      </c>
      <c r="R132" t="s">
        <v>333</v>
      </c>
      <c r="AB132" s="169">
        <v>359162.34899999999</v>
      </c>
      <c r="AC132" s="169">
        <v>-153435.1</v>
      </c>
      <c r="AD132" s="170">
        <v>290.89999999999998</v>
      </c>
    </row>
    <row r="133" spans="3:30" ht="15.6">
      <c r="C133" s="112" t="s">
        <v>344</v>
      </c>
      <c r="E133" s="108" cm="1">
        <f t="array" ref="E133">INDEX(N133:Q133,case_number)</f>
        <v>0.14966391329716369</v>
      </c>
      <c r="F133" s="109" cm="1">
        <f t="array" aca="1" ref="F133" ca="1">INDIRECT(sheet_name&amp;"!Ms_coeff.tens.1")*1000</f>
        <v>0.14965860322804903</v>
      </c>
      <c r="G133" s="118">
        <f t="shared" ca="1" si="11"/>
        <v>-3.5479956374810601E-5</v>
      </c>
      <c r="H133" t="s">
        <v>335</v>
      </c>
      <c r="L133" s="112" t="s">
        <v>344</v>
      </c>
      <c r="N133" s="154">
        <v>0.14966391329716369</v>
      </c>
      <c r="O133" s="154">
        <v>0.15443580194255485</v>
      </c>
      <c r="P133" s="154">
        <v>0.16303277434730865</v>
      </c>
      <c r="Q133" s="154">
        <v>0.16139965252074581</v>
      </c>
      <c r="R133" t="s">
        <v>334</v>
      </c>
      <c r="AB133" s="169">
        <v>386790.22200000001</v>
      </c>
      <c r="AC133" s="169">
        <v>-153435.1</v>
      </c>
      <c r="AD133" s="170">
        <v>64.86</v>
      </c>
    </row>
    <row r="134" spans="3:30" ht="15.6">
      <c r="C134" s="112" t="s">
        <v>345</v>
      </c>
      <c r="E134" s="108" cm="1">
        <f t="array" ref="E134">INDEX(N134:Q134,case_number)</f>
        <v>3.3937368214732118</v>
      </c>
      <c r="F134" s="109" cm="1">
        <f t="array" aca="1" ref="F134" ca="1">INDIRECT(sheet_name&amp;"!Ms_coeff.tens.0")</f>
        <v>3.3935893671705037</v>
      </c>
      <c r="G134" s="118">
        <f t="shared" ca="1" si="11"/>
        <v>-4.3448950364986497E-5</v>
      </c>
      <c r="L134" s="112" t="s">
        <v>345</v>
      </c>
      <c r="N134" s="154">
        <v>3.3937368214732118</v>
      </c>
      <c r="O134" s="154">
        <v>3.4684759663586817</v>
      </c>
      <c r="P134" s="154">
        <v>3.6574452211484498</v>
      </c>
      <c r="Q134" s="154">
        <v>3.6049421035382352</v>
      </c>
      <c r="R134" t="s">
        <v>335</v>
      </c>
      <c r="AB134" s="169">
        <v>414418.09499999997</v>
      </c>
      <c r="AC134" s="169">
        <v>-153435.1</v>
      </c>
      <c r="AD134" s="170">
        <v>34.454999999999998</v>
      </c>
    </row>
    <row r="135" spans="3:30">
      <c r="L135" s="112"/>
      <c r="N135" s="112"/>
      <c r="O135" s="112"/>
      <c r="P135" s="112"/>
      <c r="Q135" s="112"/>
      <c r="AB135" s="169">
        <v>442045.96799999999</v>
      </c>
      <c r="AC135" s="169">
        <v>-153435.1</v>
      </c>
      <c r="AD135" s="170">
        <v>5.5650000000000004</v>
      </c>
    </row>
    <row r="136" spans="3:30">
      <c r="C136" s="103" t="s">
        <v>93</v>
      </c>
      <c r="E136" s="109" cm="1">
        <f t="array" ref="E136">INDEX(N136:Q136,case_number)</f>
        <v>2.070941841817159</v>
      </c>
      <c r="F136" s="109" cm="1">
        <f t="array" aca="1" ref="F136" ca="1">INDIRECT(sheet_name&amp;"!Damage")</f>
        <v>2.0198628444678262</v>
      </c>
      <c r="G136" s="118">
        <f t="shared" ca="1" si="11"/>
        <v>-2.466462182468307E-2</v>
      </c>
      <c r="L136" s="103" t="s">
        <v>93</v>
      </c>
      <c r="M136" s="158"/>
      <c r="N136" s="109">
        <v>2.070941841817159</v>
      </c>
      <c r="O136" s="109">
        <v>2.5149891273580445</v>
      </c>
      <c r="P136" s="109">
        <v>3.3368316682091721</v>
      </c>
      <c r="Q136" s="109">
        <v>3.2152984258074007</v>
      </c>
      <c r="R136" t="s">
        <v>396</v>
      </c>
      <c r="AB136" s="169">
        <v>469673.84100000001</v>
      </c>
      <c r="AC136" s="169">
        <v>-153435.1</v>
      </c>
      <c r="AD136" s="170">
        <v>6.2249999999999996</v>
      </c>
    </row>
    <row r="137" spans="3:30">
      <c r="AB137" s="169">
        <v>497301.71399999998</v>
      </c>
      <c r="AC137" s="169">
        <v>-153435.1</v>
      </c>
      <c r="AD137" s="170">
        <v>1.86</v>
      </c>
    </row>
    <row r="138" spans="3:30">
      <c r="AB138" s="169">
        <v>524929.58700000006</v>
      </c>
      <c r="AC138" s="169">
        <v>-153435.1</v>
      </c>
      <c r="AD138" s="170">
        <v>10.1</v>
      </c>
    </row>
    <row r="139" spans="3:30">
      <c r="AB139" s="169">
        <v>552557.46</v>
      </c>
      <c r="AC139" s="169">
        <v>-153435.1</v>
      </c>
      <c r="AD139" s="170">
        <v>1.54</v>
      </c>
    </row>
    <row r="140" spans="3:30">
      <c r="AB140" s="169">
        <v>0.1330700007</v>
      </c>
      <c r="AC140" s="169">
        <v>-132120.29999999999</v>
      </c>
      <c r="AD140" s="170">
        <v>23818200</v>
      </c>
    </row>
    <row r="141" spans="3:30">
      <c r="AB141" s="169">
        <v>27628.027699999999</v>
      </c>
      <c r="AC141" s="169">
        <v>-132120.29999999999</v>
      </c>
      <c r="AD141" s="170">
        <v>1973110</v>
      </c>
    </row>
    <row r="142" spans="3:30">
      <c r="AB142" s="169">
        <v>55255.900699999998</v>
      </c>
      <c r="AC142" s="169">
        <v>-132120.29999999999</v>
      </c>
      <c r="AD142" s="170">
        <v>970059</v>
      </c>
    </row>
    <row r="143" spans="3:30">
      <c r="AB143" s="169">
        <v>82883.619000000006</v>
      </c>
      <c r="AC143" s="169">
        <v>-132120.29999999999</v>
      </c>
      <c r="AD143" s="170">
        <v>415075</v>
      </c>
    </row>
    <row r="144" spans="3:30">
      <c r="AB144" s="169">
        <v>110511.492</v>
      </c>
      <c r="AC144" s="169">
        <v>-132120.29999999999</v>
      </c>
      <c r="AD144" s="170">
        <v>188807</v>
      </c>
    </row>
    <row r="145" spans="28:30">
      <c r="AB145" s="169">
        <v>138139.36499999999</v>
      </c>
      <c r="AC145" s="169">
        <v>-132120.29999999999</v>
      </c>
      <c r="AD145" s="170">
        <v>87490</v>
      </c>
    </row>
    <row r="146" spans="28:30">
      <c r="AB146" s="169">
        <v>165767.23800000001</v>
      </c>
      <c r="AC146" s="169">
        <v>-132120.29999999999</v>
      </c>
      <c r="AD146" s="170">
        <v>55671.8</v>
      </c>
    </row>
    <row r="147" spans="28:30">
      <c r="AB147" s="169">
        <v>193395.111</v>
      </c>
      <c r="AC147" s="169">
        <v>-132120.29999999999</v>
      </c>
      <c r="AD147" s="170">
        <v>22593.4</v>
      </c>
    </row>
    <row r="148" spans="28:30">
      <c r="AB148" s="169">
        <v>221022.984</v>
      </c>
      <c r="AC148" s="169">
        <v>-132120.29999999999</v>
      </c>
      <c r="AD148" s="170">
        <v>12542.3</v>
      </c>
    </row>
    <row r="149" spans="28:30">
      <c r="AB149" s="169">
        <v>248650.85699999999</v>
      </c>
      <c r="AC149" s="169">
        <v>-132120.29999999999</v>
      </c>
      <c r="AD149" s="170">
        <v>6193.51</v>
      </c>
    </row>
    <row r="150" spans="28:30">
      <c r="AB150" s="169">
        <v>276278.73</v>
      </c>
      <c r="AC150" s="169">
        <v>-132120.29999999999</v>
      </c>
      <c r="AD150" s="170">
        <v>3626.11</v>
      </c>
    </row>
    <row r="151" spans="28:30">
      <c r="AB151" s="169">
        <v>303906.603</v>
      </c>
      <c r="AC151" s="169">
        <v>-132120.29999999999</v>
      </c>
      <c r="AD151" s="170">
        <v>1463.84</v>
      </c>
    </row>
    <row r="152" spans="28:30">
      <c r="AB152" s="169">
        <v>331534.47600000002</v>
      </c>
      <c r="AC152" s="169">
        <v>-132120.29999999999</v>
      </c>
      <c r="AD152" s="170">
        <v>749.44</v>
      </c>
    </row>
    <row r="153" spans="28:30">
      <c r="AB153" s="169">
        <v>359162.34899999999</v>
      </c>
      <c r="AC153" s="169">
        <v>-132120.29999999999</v>
      </c>
      <c r="AD153" s="170">
        <v>341.21</v>
      </c>
    </row>
    <row r="154" spans="28:30">
      <c r="AB154" s="169">
        <v>386790.22200000001</v>
      </c>
      <c r="AC154" s="169">
        <v>-132120.29999999999</v>
      </c>
      <c r="AD154" s="170">
        <v>150.36000000000001</v>
      </c>
    </row>
    <row r="155" spans="28:30">
      <c r="AB155" s="169">
        <v>414418.09499999997</v>
      </c>
      <c r="AC155" s="169">
        <v>-132120.29999999999</v>
      </c>
      <c r="AD155" s="170">
        <v>104.41500000000001</v>
      </c>
    </row>
    <row r="156" spans="28:30">
      <c r="AB156" s="169">
        <v>442045.96799999999</v>
      </c>
      <c r="AC156" s="169">
        <v>-132120.29999999999</v>
      </c>
      <c r="AD156" s="170">
        <v>47.805</v>
      </c>
    </row>
    <row r="157" spans="28:30">
      <c r="AB157" s="169">
        <v>469673.84100000001</v>
      </c>
      <c r="AC157" s="169">
        <v>-132120.29999999999</v>
      </c>
      <c r="AD157" s="170">
        <v>5.6849999999999996</v>
      </c>
    </row>
    <row r="158" spans="28:30">
      <c r="AB158" s="169">
        <v>497301.71399999998</v>
      </c>
      <c r="AC158" s="169">
        <v>-132120.29999999999</v>
      </c>
      <c r="AD158" s="170">
        <v>8.92</v>
      </c>
    </row>
    <row r="159" spans="28:30">
      <c r="AB159" s="169">
        <v>524929.58700000006</v>
      </c>
      <c r="AC159" s="169">
        <v>-132120.29999999999</v>
      </c>
      <c r="AD159" s="170">
        <v>3.74</v>
      </c>
    </row>
    <row r="160" spans="28:30">
      <c r="AB160" s="169">
        <v>552557.46</v>
      </c>
      <c r="AC160" s="169">
        <v>-132120.29999999999</v>
      </c>
      <c r="AD160" s="170">
        <v>1.54</v>
      </c>
    </row>
    <row r="161" spans="28:30">
      <c r="AB161" s="169">
        <v>0.1330700007</v>
      </c>
      <c r="AC161" s="169">
        <v>-110805.24</v>
      </c>
      <c r="AD161" s="170">
        <v>25878700</v>
      </c>
    </row>
    <row r="162" spans="28:30">
      <c r="AB162" s="169">
        <v>27628.027699999999</v>
      </c>
      <c r="AC162" s="169">
        <v>-110805.24</v>
      </c>
      <c r="AD162" s="170">
        <v>2084780</v>
      </c>
    </row>
    <row r="163" spans="28:30">
      <c r="AB163" s="169">
        <v>55255.900699999998</v>
      </c>
      <c r="AC163" s="169">
        <v>-110805.24</v>
      </c>
      <c r="AD163" s="170">
        <v>1058320</v>
      </c>
    </row>
    <row r="164" spans="28:30">
      <c r="AB164" s="169">
        <v>82883.619000000006</v>
      </c>
      <c r="AC164" s="169">
        <v>-110805.24</v>
      </c>
      <c r="AD164" s="170">
        <v>576799</v>
      </c>
    </row>
    <row r="165" spans="28:30">
      <c r="AB165" s="169">
        <v>110511.492</v>
      </c>
      <c r="AC165" s="169">
        <v>-110805.24</v>
      </c>
      <c r="AD165" s="170">
        <v>242564</v>
      </c>
    </row>
    <row r="166" spans="28:30">
      <c r="AB166" s="169">
        <v>138139.36499999999</v>
      </c>
      <c r="AC166" s="169">
        <v>-110805.24</v>
      </c>
      <c r="AD166" s="170">
        <v>97980.7</v>
      </c>
    </row>
    <row r="167" spans="28:30">
      <c r="AB167" s="169">
        <v>165767.23800000001</v>
      </c>
      <c r="AC167" s="169">
        <v>-110805.24</v>
      </c>
      <c r="AD167" s="170">
        <v>48124.4</v>
      </c>
    </row>
    <row r="168" spans="28:30">
      <c r="AB168" s="169">
        <v>193395.111</v>
      </c>
      <c r="AC168" s="169">
        <v>-110805.24</v>
      </c>
      <c r="AD168" s="170">
        <v>24630.7</v>
      </c>
    </row>
    <row r="169" spans="28:30">
      <c r="AB169" s="169">
        <v>221022.984</v>
      </c>
      <c r="AC169" s="169">
        <v>-110805.24</v>
      </c>
      <c r="AD169" s="170">
        <v>14495</v>
      </c>
    </row>
    <row r="170" spans="28:30">
      <c r="AB170" s="169">
        <v>248650.85699999999</v>
      </c>
      <c r="AC170" s="169">
        <v>-110805.24</v>
      </c>
      <c r="AD170" s="170">
        <v>7942.22</v>
      </c>
    </row>
    <row r="171" spans="28:30">
      <c r="AB171" s="169">
        <v>276278.73</v>
      </c>
      <c r="AC171" s="169">
        <v>-110805.24</v>
      </c>
      <c r="AD171" s="170">
        <v>3444.84</v>
      </c>
    </row>
    <row r="172" spans="28:30">
      <c r="AB172" s="169">
        <v>303906.603</v>
      </c>
      <c r="AC172" s="169">
        <v>-110805.24</v>
      </c>
      <c r="AD172" s="170">
        <v>1611.7</v>
      </c>
    </row>
    <row r="173" spans="28:30">
      <c r="AB173" s="169">
        <v>331534.47600000002</v>
      </c>
      <c r="AC173" s="169">
        <v>-110805.24</v>
      </c>
      <c r="AD173" s="170">
        <v>1086.8599999999999</v>
      </c>
    </row>
    <row r="174" spans="28:30">
      <c r="AB174" s="169">
        <v>359162.34899999999</v>
      </c>
      <c r="AC174" s="169">
        <v>-110805.24</v>
      </c>
      <c r="AD174" s="170">
        <v>640.98500000000001</v>
      </c>
    </row>
    <row r="175" spans="28:30">
      <c r="AB175" s="169">
        <v>386790.22200000001</v>
      </c>
      <c r="AC175" s="169">
        <v>-110805.24</v>
      </c>
      <c r="AD175" s="170">
        <v>457.59</v>
      </c>
    </row>
    <row r="176" spans="28:30">
      <c r="AB176" s="169">
        <v>414418.09499999997</v>
      </c>
      <c r="AC176" s="169">
        <v>-110805.24</v>
      </c>
      <c r="AD176" s="170">
        <v>137.03</v>
      </c>
    </row>
    <row r="177" spans="28:30">
      <c r="AB177" s="169">
        <v>442045.96799999999</v>
      </c>
      <c r="AC177" s="169">
        <v>-110805.24</v>
      </c>
      <c r="AD177" s="170">
        <v>54.814999999999998</v>
      </c>
    </row>
    <row r="178" spans="28:30">
      <c r="AB178" s="169">
        <v>469673.84100000001</v>
      </c>
      <c r="AC178" s="169">
        <v>-110805.24</v>
      </c>
      <c r="AD178" s="170">
        <v>180.495</v>
      </c>
    </row>
    <row r="179" spans="28:30">
      <c r="AB179" s="169">
        <v>497301.71399999998</v>
      </c>
      <c r="AC179" s="169">
        <v>-110805.24</v>
      </c>
      <c r="AD179" s="170">
        <v>14.525</v>
      </c>
    </row>
    <row r="180" spans="28:30">
      <c r="AB180" s="169">
        <v>524929.58700000006</v>
      </c>
      <c r="AC180" s="169">
        <v>-110805.24</v>
      </c>
      <c r="AD180" s="170">
        <v>4.4999999999999998E-2</v>
      </c>
    </row>
    <row r="181" spans="28:30">
      <c r="AB181" s="169">
        <v>552557.46</v>
      </c>
      <c r="AC181" s="169">
        <v>-110805.24</v>
      </c>
      <c r="AD181" s="170">
        <v>1.355</v>
      </c>
    </row>
    <row r="182" spans="28:30">
      <c r="AB182" s="169">
        <v>580185.33299999998</v>
      </c>
      <c r="AC182" s="169">
        <v>-110805.24</v>
      </c>
      <c r="AD182" s="170">
        <v>86.165000000000006</v>
      </c>
    </row>
    <row r="183" spans="28:30">
      <c r="AB183" s="169">
        <v>663068.95200000005</v>
      </c>
      <c r="AC183" s="169">
        <v>-110805.24</v>
      </c>
      <c r="AD183" s="170">
        <v>0.1</v>
      </c>
    </row>
    <row r="184" spans="28:30">
      <c r="AB184" s="169">
        <v>0.1330700007</v>
      </c>
      <c r="AC184" s="169">
        <v>-89490.57</v>
      </c>
      <c r="AD184" s="170">
        <v>25238100</v>
      </c>
    </row>
    <row r="185" spans="28:30">
      <c r="AB185" s="169">
        <v>27628.027699999999</v>
      </c>
      <c r="AC185" s="169">
        <v>-89490.57</v>
      </c>
      <c r="AD185" s="170">
        <v>2058140</v>
      </c>
    </row>
    <row r="186" spans="28:30">
      <c r="AB186" s="169">
        <v>55255.900699999998</v>
      </c>
      <c r="AC186" s="169">
        <v>-89490.57</v>
      </c>
      <c r="AD186" s="170">
        <v>868550</v>
      </c>
    </row>
    <row r="187" spans="28:30">
      <c r="AB187" s="169">
        <v>82883.619000000006</v>
      </c>
      <c r="AC187" s="169">
        <v>-89490.57</v>
      </c>
      <c r="AD187" s="170">
        <v>579293</v>
      </c>
    </row>
    <row r="188" spans="28:30">
      <c r="AB188" s="169">
        <v>110511.492</v>
      </c>
      <c r="AC188" s="169">
        <v>-89490.57</v>
      </c>
      <c r="AD188" s="170">
        <v>333925</v>
      </c>
    </row>
    <row r="189" spans="28:30">
      <c r="AB189" s="169">
        <v>138139.36499999999</v>
      </c>
      <c r="AC189" s="169">
        <v>-89490.57</v>
      </c>
      <c r="AD189" s="170">
        <v>123931</v>
      </c>
    </row>
    <row r="190" spans="28:30">
      <c r="AB190" s="169">
        <v>165767.23800000001</v>
      </c>
      <c r="AC190" s="169">
        <v>-89490.57</v>
      </c>
      <c r="AD190" s="170">
        <v>74884.3</v>
      </c>
    </row>
    <row r="191" spans="28:30">
      <c r="AB191" s="169">
        <v>193395.111</v>
      </c>
      <c r="AC191" s="169">
        <v>-89490.57</v>
      </c>
      <c r="AD191" s="170">
        <v>34345.9</v>
      </c>
    </row>
    <row r="192" spans="28:30">
      <c r="AB192" s="169">
        <v>221022.984</v>
      </c>
      <c r="AC192" s="169">
        <v>-89490.57</v>
      </c>
      <c r="AD192" s="170">
        <v>14459.2</v>
      </c>
    </row>
    <row r="193" spans="28:30">
      <c r="AB193" s="169">
        <v>248650.85699999999</v>
      </c>
      <c r="AC193" s="169">
        <v>-89490.57</v>
      </c>
      <c r="AD193" s="170">
        <v>7350.07</v>
      </c>
    </row>
    <row r="194" spans="28:30">
      <c r="AB194" s="169">
        <v>276278.73</v>
      </c>
      <c r="AC194" s="169">
        <v>-89490.57</v>
      </c>
      <c r="AD194" s="170">
        <v>2459.4899999999998</v>
      </c>
    </row>
    <row r="195" spans="28:30">
      <c r="AB195" s="169">
        <v>303906.603</v>
      </c>
      <c r="AC195" s="169">
        <v>-89490.57</v>
      </c>
      <c r="AD195" s="170">
        <v>2334.96</v>
      </c>
    </row>
    <row r="196" spans="28:30">
      <c r="AB196" s="169">
        <v>331534.47600000002</v>
      </c>
      <c r="AC196" s="169">
        <v>-89490.57</v>
      </c>
      <c r="AD196" s="170">
        <v>743.58500000000004</v>
      </c>
    </row>
    <row r="197" spans="28:30">
      <c r="AB197" s="169">
        <v>359162.34899999999</v>
      </c>
      <c r="AC197" s="169">
        <v>-89490.57</v>
      </c>
      <c r="AD197" s="170">
        <v>548.52</v>
      </c>
    </row>
    <row r="198" spans="28:30">
      <c r="AB198" s="169">
        <v>386790.22200000001</v>
      </c>
      <c r="AC198" s="169">
        <v>-89490.57</v>
      </c>
      <c r="AD198" s="170">
        <v>545.93499999999995</v>
      </c>
    </row>
    <row r="199" spans="28:30">
      <c r="AB199" s="169">
        <v>414418.09499999997</v>
      </c>
      <c r="AC199" s="169">
        <v>-89490.57</v>
      </c>
      <c r="AD199" s="170">
        <v>324.10500000000002</v>
      </c>
    </row>
    <row r="200" spans="28:30">
      <c r="AB200" s="169">
        <v>442045.96799999999</v>
      </c>
      <c r="AC200" s="169">
        <v>-89490.57</v>
      </c>
      <c r="AD200" s="170">
        <v>232.51</v>
      </c>
    </row>
    <row r="201" spans="28:30">
      <c r="AB201" s="169">
        <v>469673.84100000001</v>
      </c>
      <c r="AC201" s="169">
        <v>-89490.57</v>
      </c>
      <c r="AD201" s="170">
        <v>270.73</v>
      </c>
    </row>
    <row r="202" spans="28:30">
      <c r="AB202" s="169">
        <v>497301.71399999998</v>
      </c>
      <c r="AC202" s="169">
        <v>-89490.57</v>
      </c>
      <c r="AD202" s="170">
        <v>3.4449999999999998</v>
      </c>
    </row>
    <row r="203" spans="28:30">
      <c r="AB203" s="169">
        <v>524929.58700000006</v>
      </c>
      <c r="AC203" s="169">
        <v>-89490.57</v>
      </c>
      <c r="AD203" s="170">
        <v>0.86</v>
      </c>
    </row>
    <row r="204" spans="28:30">
      <c r="AB204" s="169">
        <v>552557.46</v>
      </c>
      <c r="AC204" s="169">
        <v>-89490.57</v>
      </c>
      <c r="AD204" s="170">
        <v>0.81</v>
      </c>
    </row>
    <row r="205" spans="28:30">
      <c r="AB205" s="169">
        <v>580185.33299999998</v>
      </c>
      <c r="AC205" s="169">
        <v>-89490.57</v>
      </c>
      <c r="AD205" s="170">
        <v>1.96</v>
      </c>
    </row>
    <row r="206" spans="28:30">
      <c r="AB206" s="169">
        <v>607813.20600000001</v>
      </c>
      <c r="AC206" s="169">
        <v>-89490.57</v>
      </c>
      <c r="AD206" s="170">
        <v>7.0000000000000007E-2</v>
      </c>
    </row>
    <row r="207" spans="28:30">
      <c r="AB207" s="169">
        <v>635441.07900000003</v>
      </c>
      <c r="AC207" s="169">
        <v>-89490.57</v>
      </c>
      <c r="AD207" s="170">
        <v>0.25</v>
      </c>
    </row>
    <row r="208" spans="28:30">
      <c r="AB208" s="169">
        <v>663068.95200000005</v>
      </c>
      <c r="AC208" s="169">
        <v>-89490.57</v>
      </c>
      <c r="AD208" s="170">
        <v>48.95</v>
      </c>
    </row>
    <row r="209" spans="28:30">
      <c r="AB209" s="169">
        <v>690696.82499999995</v>
      </c>
      <c r="AC209" s="169">
        <v>-89490.57</v>
      </c>
      <c r="AD209" s="170">
        <v>0.1</v>
      </c>
    </row>
    <row r="210" spans="28:30">
      <c r="AB210" s="169">
        <v>0.1330700007</v>
      </c>
      <c r="AC210" s="169">
        <v>-68175.899999999994</v>
      </c>
      <c r="AD210" s="170">
        <v>23772400</v>
      </c>
    </row>
    <row r="211" spans="28:30">
      <c r="AB211" s="169">
        <v>27628.027699999999</v>
      </c>
      <c r="AC211" s="169">
        <v>-68175.899999999994</v>
      </c>
      <c r="AD211" s="170">
        <v>1970870</v>
      </c>
    </row>
    <row r="212" spans="28:30">
      <c r="AB212" s="169">
        <v>55255.900699999998</v>
      </c>
      <c r="AC212" s="169">
        <v>-68175.899999999994</v>
      </c>
      <c r="AD212" s="170">
        <v>708442</v>
      </c>
    </row>
    <row r="213" spans="28:30">
      <c r="AB213" s="169">
        <v>82883.619000000006</v>
      </c>
      <c r="AC213" s="169">
        <v>-68175.899999999994</v>
      </c>
      <c r="AD213" s="170">
        <v>467554</v>
      </c>
    </row>
    <row r="214" spans="28:30">
      <c r="AB214" s="169">
        <v>110511.492</v>
      </c>
      <c r="AC214" s="169">
        <v>-68175.899999999994</v>
      </c>
      <c r="AD214" s="170">
        <v>309338</v>
      </c>
    </row>
    <row r="215" spans="28:30">
      <c r="AB215" s="169">
        <v>138139.36499999999</v>
      </c>
      <c r="AC215" s="169">
        <v>-68175.899999999994</v>
      </c>
      <c r="AD215" s="170">
        <v>227809</v>
      </c>
    </row>
    <row r="216" spans="28:30">
      <c r="AB216" s="169">
        <v>165767.23800000001</v>
      </c>
      <c r="AC216" s="169">
        <v>-68175.899999999994</v>
      </c>
      <c r="AD216" s="170">
        <v>126551</v>
      </c>
    </row>
    <row r="217" spans="28:30">
      <c r="AB217" s="169">
        <v>193395.111</v>
      </c>
      <c r="AC217" s="169">
        <v>-68175.899999999994</v>
      </c>
      <c r="AD217" s="170">
        <v>54220.5</v>
      </c>
    </row>
    <row r="218" spans="28:30">
      <c r="AB218" s="169">
        <v>221022.984</v>
      </c>
      <c r="AC218" s="169">
        <v>-68175.899999999994</v>
      </c>
      <c r="AD218" s="170">
        <v>30950.5</v>
      </c>
    </row>
    <row r="219" spans="28:30">
      <c r="AB219" s="169">
        <v>248650.85699999999</v>
      </c>
      <c r="AC219" s="169">
        <v>-68175.899999999994</v>
      </c>
      <c r="AD219" s="170">
        <v>15552.7</v>
      </c>
    </row>
    <row r="220" spans="28:30">
      <c r="AB220" s="169">
        <v>276278.73</v>
      </c>
      <c r="AC220" s="169">
        <v>-68175.899999999994</v>
      </c>
      <c r="AD220" s="170">
        <v>6899.19</v>
      </c>
    </row>
    <row r="221" spans="28:30">
      <c r="AB221" s="169">
        <v>303906.603</v>
      </c>
      <c r="AC221" s="169">
        <v>-68175.899999999994</v>
      </c>
      <c r="AD221" s="170">
        <v>5076.54</v>
      </c>
    </row>
    <row r="222" spans="28:30">
      <c r="AB222" s="169">
        <v>331534.47600000002</v>
      </c>
      <c r="AC222" s="169">
        <v>-68175.899999999994</v>
      </c>
      <c r="AD222" s="170">
        <v>1194.72</v>
      </c>
    </row>
    <row r="223" spans="28:30">
      <c r="AB223" s="169">
        <v>359162.34899999999</v>
      </c>
      <c r="AC223" s="169">
        <v>-68175.899999999994</v>
      </c>
      <c r="AD223" s="170">
        <v>243.74</v>
      </c>
    </row>
    <row r="224" spans="28:30">
      <c r="AB224" s="169">
        <v>386790.22200000001</v>
      </c>
      <c r="AC224" s="169">
        <v>-68175.899999999994</v>
      </c>
      <c r="AD224" s="170">
        <v>185.71</v>
      </c>
    </row>
    <row r="225" spans="28:30">
      <c r="AB225" s="169">
        <v>414418.09499999997</v>
      </c>
      <c r="AC225" s="169">
        <v>-68175.899999999994</v>
      </c>
      <c r="AD225" s="170">
        <v>597.01499999999999</v>
      </c>
    </row>
    <row r="226" spans="28:30">
      <c r="AB226" s="169">
        <v>442045.96799999999</v>
      </c>
      <c r="AC226" s="169">
        <v>-68175.899999999994</v>
      </c>
      <c r="AD226" s="170">
        <v>177.56</v>
      </c>
    </row>
    <row r="227" spans="28:30">
      <c r="AB227" s="169">
        <v>469673.84100000001</v>
      </c>
      <c r="AC227" s="169">
        <v>-68175.899999999994</v>
      </c>
      <c r="AD227" s="170">
        <v>36.630000000000003</v>
      </c>
    </row>
    <row r="228" spans="28:30">
      <c r="AB228" s="169">
        <v>497301.71399999998</v>
      </c>
      <c r="AC228" s="169">
        <v>-68175.899999999994</v>
      </c>
      <c r="AD228" s="170">
        <v>334.35500000000002</v>
      </c>
    </row>
    <row r="229" spans="28:30">
      <c r="AB229" s="169">
        <v>552557.46</v>
      </c>
      <c r="AC229" s="169">
        <v>-68175.899999999994</v>
      </c>
      <c r="AD229" s="170">
        <v>3.7149999999999999</v>
      </c>
    </row>
    <row r="230" spans="28:30">
      <c r="AB230" s="169">
        <v>607813.20600000001</v>
      </c>
      <c r="AC230" s="169">
        <v>-68175.899999999994</v>
      </c>
      <c r="AD230" s="170">
        <v>0.05</v>
      </c>
    </row>
    <row r="231" spans="28:30">
      <c r="AB231" s="169">
        <v>663068.95200000005</v>
      </c>
      <c r="AC231" s="169">
        <v>-68175.899999999994</v>
      </c>
      <c r="AD231" s="170">
        <v>0.15</v>
      </c>
    </row>
    <row r="232" spans="28:30">
      <c r="AB232" s="169">
        <v>0.1330700007</v>
      </c>
      <c r="AC232" s="169">
        <v>-46861.23</v>
      </c>
      <c r="AD232" s="170">
        <v>25505900</v>
      </c>
    </row>
    <row r="233" spans="28:30">
      <c r="AB233" s="169">
        <v>27628.027699999999</v>
      </c>
      <c r="AC233" s="169">
        <v>-46861.23</v>
      </c>
      <c r="AD233" s="170">
        <v>3933560</v>
      </c>
    </row>
    <row r="234" spans="28:30">
      <c r="AB234" s="169">
        <v>55255.900699999998</v>
      </c>
      <c r="AC234" s="169">
        <v>-46861.23</v>
      </c>
      <c r="AD234" s="170">
        <v>1588210</v>
      </c>
    </row>
    <row r="235" spans="28:30">
      <c r="AB235" s="169">
        <v>82883.619000000006</v>
      </c>
      <c r="AC235" s="169">
        <v>-46861.23</v>
      </c>
      <c r="AD235" s="170">
        <v>871552</v>
      </c>
    </row>
    <row r="236" spans="28:30">
      <c r="AB236" s="169">
        <v>110511.492</v>
      </c>
      <c r="AC236" s="169">
        <v>-46861.23</v>
      </c>
      <c r="AD236" s="170">
        <v>454153</v>
      </c>
    </row>
    <row r="237" spans="28:30">
      <c r="AB237" s="169">
        <v>138139.36499999999</v>
      </c>
      <c r="AC237" s="169">
        <v>-46861.23</v>
      </c>
      <c r="AD237" s="170">
        <v>248695</v>
      </c>
    </row>
    <row r="238" spans="28:30">
      <c r="AB238" s="169">
        <v>165767.23800000001</v>
      </c>
      <c r="AC238" s="169">
        <v>-46861.23</v>
      </c>
      <c r="AD238" s="170">
        <v>142136</v>
      </c>
    </row>
    <row r="239" spans="28:30">
      <c r="AB239" s="169">
        <v>193395.111</v>
      </c>
      <c r="AC239" s="169">
        <v>-46861.23</v>
      </c>
      <c r="AD239" s="170">
        <v>99986</v>
      </c>
    </row>
    <row r="240" spans="28:30">
      <c r="AB240" s="169">
        <v>221022.984</v>
      </c>
      <c r="AC240" s="169">
        <v>-46861.23</v>
      </c>
      <c r="AD240" s="170">
        <v>65149.5</v>
      </c>
    </row>
    <row r="241" spans="28:30">
      <c r="AB241" s="169">
        <v>248650.85699999999</v>
      </c>
      <c r="AC241" s="169">
        <v>-46861.23</v>
      </c>
      <c r="AD241" s="170">
        <v>38998.5</v>
      </c>
    </row>
    <row r="242" spans="28:30">
      <c r="AB242" s="169">
        <v>276278.73</v>
      </c>
      <c r="AC242" s="169">
        <v>-46861.23</v>
      </c>
      <c r="AD242" s="170">
        <v>18332.7</v>
      </c>
    </row>
    <row r="243" spans="28:30">
      <c r="AB243" s="169">
        <v>303906.603</v>
      </c>
      <c r="AC243" s="169">
        <v>-46861.23</v>
      </c>
      <c r="AD243" s="170">
        <v>12639.3</v>
      </c>
    </row>
    <row r="244" spans="28:30">
      <c r="AB244" s="169">
        <v>331534.47600000002</v>
      </c>
      <c r="AC244" s="169">
        <v>-46861.23</v>
      </c>
      <c r="AD244" s="170">
        <v>3835.53</v>
      </c>
    </row>
    <row r="245" spans="28:30">
      <c r="AB245" s="169">
        <v>359162.34899999999</v>
      </c>
      <c r="AC245" s="169">
        <v>-46861.23</v>
      </c>
      <c r="AD245" s="170">
        <v>1250.8800000000001</v>
      </c>
    </row>
    <row r="246" spans="28:30">
      <c r="AB246" s="169">
        <v>386790.22200000001</v>
      </c>
      <c r="AC246" s="169">
        <v>-46861.23</v>
      </c>
      <c r="AD246" s="170">
        <v>268.82499999999999</v>
      </c>
    </row>
    <row r="247" spans="28:30">
      <c r="AB247" s="169">
        <v>414418.09499999997</v>
      </c>
      <c r="AC247" s="169">
        <v>-46861.23</v>
      </c>
      <c r="AD247" s="170">
        <v>168.63499999999999</v>
      </c>
    </row>
    <row r="248" spans="28:30">
      <c r="AB248" s="169">
        <v>442045.96799999999</v>
      </c>
      <c r="AC248" s="169">
        <v>-46861.23</v>
      </c>
      <c r="AD248" s="170">
        <v>688.16499999999996</v>
      </c>
    </row>
    <row r="249" spans="28:30">
      <c r="AB249" s="169">
        <v>469673.84100000001</v>
      </c>
      <c r="AC249" s="169">
        <v>-46861.23</v>
      </c>
      <c r="AD249" s="170">
        <v>389.38499999999999</v>
      </c>
    </row>
    <row r="250" spans="28:30">
      <c r="AB250" s="169">
        <v>497301.71399999998</v>
      </c>
      <c r="AC250" s="169">
        <v>-46861.23</v>
      </c>
      <c r="AD250" s="170">
        <v>337.46</v>
      </c>
    </row>
    <row r="251" spans="28:30">
      <c r="AB251" s="169">
        <v>524929.58700000006</v>
      </c>
      <c r="AC251" s="169">
        <v>-46861.23</v>
      </c>
      <c r="AD251" s="170">
        <v>17.864999999999998</v>
      </c>
    </row>
    <row r="252" spans="28:30">
      <c r="AB252" s="169">
        <v>552557.46</v>
      </c>
      <c r="AC252" s="169">
        <v>-46861.23</v>
      </c>
      <c r="AD252" s="170">
        <v>315.31</v>
      </c>
    </row>
    <row r="253" spans="28:30">
      <c r="AB253" s="169">
        <v>580185.33299999998</v>
      </c>
      <c r="AC253" s="169">
        <v>-46861.23</v>
      </c>
      <c r="AD253" s="170">
        <v>9.7449999999999992</v>
      </c>
    </row>
    <row r="254" spans="28:30">
      <c r="AB254" s="169">
        <v>607813.20600000001</v>
      </c>
      <c r="AC254" s="169">
        <v>-46861.23</v>
      </c>
      <c r="AD254" s="170">
        <v>11.475</v>
      </c>
    </row>
    <row r="255" spans="28:30">
      <c r="AB255" s="169">
        <v>635441.07900000003</v>
      </c>
      <c r="AC255" s="169">
        <v>-46861.23</v>
      </c>
      <c r="AD255" s="170">
        <v>0.33500000000000002</v>
      </c>
    </row>
    <row r="256" spans="28:30">
      <c r="AB256" s="169">
        <v>663068.95200000005</v>
      </c>
      <c r="AC256" s="169">
        <v>-46861.23</v>
      </c>
      <c r="AD256" s="170">
        <v>1.99</v>
      </c>
    </row>
    <row r="257" spans="28:30">
      <c r="AB257" s="169">
        <v>690696.82499999995</v>
      </c>
      <c r="AC257" s="169">
        <v>-46861.23</v>
      </c>
      <c r="AD257" s="170">
        <v>0.6</v>
      </c>
    </row>
    <row r="258" spans="28:30">
      <c r="AB258" s="169">
        <v>718324.69799999997</v>
      </c>
      <c r="AC258" s="169">
        <v>-46861.23</v>
      </c>
      <c r="AD258" s="170">
        <v>0.42</v>
      </c>
    </row>
    <row r="259" spans="28:30">
      <c r="AB259" s="169">
        <v>884091.93599999999</v>
      </c>
      <c r="AC259" s="169">
        <v>-46861.23</v>
      </c>
      <c r="AD259" s="170">
        <v>0.01</v>
      </c>
    </row>
    <row r="260" spans="28:30">
      <c r="AB260" s="169">
        <v>911718.26199999999</v>
      </c>
      <c r="AC260" s="169">
        <v>-46861.23</v>
      </c>
      <c r="AD260" s="170">
        <v>2.5000000000000001E-2</v>
      </c>
    </row>
    <row r="261" spans="28:30">
      <c r="AB261" s="169">
        <v>939346.13500000001</v>
      </c>
      <c r="AC261" s="169">
        <v>-46861.23</v>
      </c>
      <c r="AD261" s="170">
        <v>0.03</v>
      </c>
    </row>
    <row r="262" spans="28:30">
      <c r="AB262" s="169">
        <v>994601.88100000005</v>
      </c>
      <c r="AC262" s="169">
        <v>-46861.23</v>
      </c>
      <c r="AD262" s="170">
        <v>0.1</v>
      </c>
    </row>
    <row r="263" spans="28:30">
      <c r="AB263" s="169">
        <v>1077485.5</v>
      </c>
      <c r="AC263" s="169">
        <v>-46861.23</v>
      </c>
      <c r="AD263" s="170">
        <v>0.1</v>
      </c>
    </row>
    <row r="264" spans="28:30">
      <c r="AB264" s="169">
        <v>0.1330700007</v>
      </c>
      <c r="AC264" s="169">
        <v>-25546.560000000001</v>
      </c>
      <c r="AD264" s="170">
        <v>30648900</v>
      </c>
    </row>
    <row r="265" spans="28:30">
      <c r="AB265" s="169">
        <v>27628.027699999999</v>
      </c>
      <c r="AC265" s="169">
        <v>-25546.560000000001</v>
      </c>
      <c r="AD265" s="170">
        <v>6945430</v>
      </c>
    </row>
    <row r="266" spans="28:30">
      <c r="AB266" s="169">
        <v>55255.900699999998</v>
      </c>
      <c r="AC266" s="169">
        <v>-25546.560000000001</v>
      </c>
      <c r="AD266" s="170">
        <v>2473180</v>
      </c>
    </row>
    <row r="267" spans="28:30">
      <c r="AB267" s="169">
        <v>82883.619000000006</v>
      </c>
      <c r="AC267" s="169">
        <v>-25546.560000000001</v>
      </c>
      <c r="AD267" s="170">
        <v>995771</v>
      </c>
    </row>
    <row r="268" spans="28:30">
      <c r="AB268" s="169">
        <v>110511.492</v>
      </c>
      <c r="AC268" s="169">
        <v>-25546.560000000001</v>
      </c>
      <c r="AD268" s="170">
        <v>430868</v>
      </c>
    </row>
    <row r="269" spans="28:30">
      <c r="AB269" s="169">
        <v>138139.36499999999</v>
      </c>
      <c r="AC269" s="169">
        <v>-25546.560000000001</v>
      </c>
      <c r="AD269" s="170">
        <v>213087</v>
      </c>
    </row>
    <row r="270" spans="28:30">
      <c r="AB270" s="169">
        <v>165767.23800000001</v>
      </c>
      <c r="AC270" s="169">
        <v>-25546.560000000001</v>
      </c>
      <c r="AD270" s="170">
        <v>111008</v>
      </c>
    </row>
    <row r="271" spans="28:30">
      <c r="AB271" s="169">
        <v>193395.111</v>
      </c>
      <c r="AC271" s="169">
        <v>-25546.560000000001</v>
      </c>
      <c r="AD271" s="170">
        <v>51615.6</v>
      </c>
    </row>
    <row r="272" spans="28:30">
      <c r="AB272" s="169">
        <v>221022.984</v>
      </c>
      <c r="AC272" s="169">
        <v>-25546.560000000001</v>
      </c>
      <c r="AD272" s="170">
        <v>30136.1</v>
      </c>
    </row>
    <row r="273" spans="28:30">
      <c r="AB273" s="169">
        <v>248650.85699999999</v>
      </c>
      <c r="AC273" s="169">
        <v>-25546.560000000001</v>
      </c>
      <c r="AD273" s="170">
        <v>19177</v>
      </c>
    </row>
    <row r="274" spans="28:30">
      <c r="AB274" s="169">
        <v>276278.73</v>
      </c>
      <c r="AC274" s="169">
        <v>-25546.560000000001</v>
      </c>
      <c r="AD274" s="170">
        <v>12647</v>
      </c>
    </row>
    <row r="275" spans="28:30">
      <c r="AB275" s="169">
        <v>303906.603</v>
      </c>
      <c r="AC275" s="169">
        <v>-25546.560000000001</v>
      </c>
      <c r="AD275" s="170">
        <v>8525.43</v>
      </c>
    </row>
    <row r="276" spans="28:30">
      <c r="AB276" s="169">
        <v>331534.47600000002</v>
      </c>
      <c r="AC276" s="169">
        <v>-25546.560000000001</v>
      </c>
      <c r="AD276" s="170">
        <v>3554.82</v>
      </c>
    </row>
    <row r="277" spans="28:30">
      <c r="AB277" s="169">
        <v>359162.34899999999</v>
      </c>
      <c r="AC277" s="169">
        <v>-25546.560000000001</v>
      </c>
      <c r="AD277" s="170">
        <v>2881.24</v>
      </c>
    </row>
    <row r="278" spans="28:30">
      <c r="AB278" s="169">
        <v>386790.22200000001</v>
      </c>
      <c r="AC278" s="169">
        <v>-25546.560000000001</v>
      </c>
      <c r="AD278" s="170">
        <v>2234.9</v>
      </c>
    </row>
    <row r="279" spans="28:30">
      <c r="AB279" s="169">
        <v>414418.09499999997</v>
      </c>
      <c r="AC279" s="169">
        <v>-25546.560000000001</v>
      </c>
      <c r="AD279" s="170">
        <v>1079.32</v>
      </c>
    </row>
    <row r="280" spans="28:30">
      <c r="AB280" s="169">
        <v>442045.96799999999</v>
      </c>
      <c r="AC280" s="169">
        <v>-25546.560000000001</v>
      </c>
      <c r="AD280" s="170">
        <v>431.935</v>
      </c>
    </row>
    <row r="281" spans="28:30">
      <c r="AB281" s="169">
        <v>469673.84100000001</v>
      </c>
      <c r="AC281" s="169">
        <v>-25546.560000000001</v>
      </c>
      <c r="AD281" s="170">
        <v>381.38</v>
      </c>
    </row>
    <row r="282" spans="28:30">
      <c r="AB282" s="169">
        <v>497301.71399999998</v>
      </c>
      <c r="AC282" s="169">
        <v>-25546.560000000001</v>
      </c>
      <c r="AD282" s="170">
        <v>316.61500000000001</v>
      </c>
    </row>
    <row r="283" spans="28:30">
      <c r="AB283" s="169">
        <v>524929.58700000006</v>
      </c>
      <c r="AC283" s="169">
        <v>-25546.560000000001</v>
      </c>
      <c r="AD283" s="170">
        <v>506.88</v>
      </c>
    </row>
    <row r="284" spans="28:30">
      <c r="AB284" s="169">
        <v>552557.46</v>
      </c>
      <c r="AC284" s="169">
        <v>-25546.560000000001</v>
      </c>
      <c r="AD284" s="170">
        <v>135.97</v>
      </c>
    </row>
    <row r="285" spans="28:30">
      <c r="AB285" s="169">
        <v>580185.33299999998</v>
      </c>
      <c r="AC285" s="169">
        <v>-25546.560000000001</v>
      </c>
      <c r="AD285" s="170">
        <v>77.61</v>
      </c>
    </row>
    <row r="286" spans="28:30">
      <c r="AB286" s="169">
        <v>607813.20600000001</v>
      </c>
      <c r="AC286" s="169">
        <v>-25546.560000000001</v>
      </c>
      <c r="AD286" s="170">
        <v>78.974999999999994</v>
      </c>
    </row>
    <row r="287" spans="28:30">
      <c r="AB287" s="169">
        <v>635441.07900000003</v>
      </c>
      <c r="AC287" s="169">
        <v>-25546.560000000001</v>
      </c>
      <c r="AD287" s="170">
        <v>61.42</v>
      </c>
    </row>
    <row r="288" spans="28:30">
      <c r="AB288" s="169">
        <v>663068.95200000005</v>
      </c>
      <c r="AC288" s="169">
        <v>-25546.560000000001</v>
      </c>
      <c r="AD288" s="170">
        <v>22.3</v>
      </c>
    </row>
    <row r="289" spans="28:30">
      <c r="AB289" s="169">
        <v>690696.82499999995</v>
      </c>
      <c r="AC289" s="169">
        <v>-25546.560000000001</v>
      </c>
      <c r="AD289" s="170">
        <v>29.864999999999998</v>
      </c>
    </row>
    <row r="290" spans="28:30">
      <c r="AB290" s="169">
        <v>718324.69799999997</v>
      </c>
      <c r="AC290" s="169">
        <v>-25546.560000000001</v>
      </c>
      <c r="AD290" s="170">
        <v>18.62</v>
      </c>
    </row>
    <row r="291" spans="28:30">
      <c r="AB291" s="169">
        <v>745952.571</v>
      </c>
      <c r="AC291" s="169">
        <v>-25546.560000000001</v>
      </c>
      <c r="AD291" s="170">
        <v>12.55</v>
      </c>
    </row>
    <row r="292" spans="28:30">
      <c r="AB292" s="169">
        <v>773580.44400000002</v>
      </c>
      <c r="AC292" s="169">
        <v>-25546.560000000001</v>
      </c>
      <c r="AD292" s="170">
        <v>7.66</v>
      </c>
    </row>
    <row r="293" spans="28:30">
      <c r="AB293" s="169">
        <v>801208.31700000004</v>
      </c>
      <c r="AC293" s="169">
        <v>-25546.560000000001</v>
      </c>
      <c r="AD293" s="170">
        <v>9.3949999999999996</v>
      </c>
    </row>
    <row r="294" spans="28:30">
      <c r="AB294" s="169">
        <v>828836.19</v>
      </c>
      <c r="AC294" s="169">
        <v>-25546.560000000001</v>
      </c>
      <c r="AD294" s="170">
        <v>1.97</v>
      </c>
    </row>
    <row r="295" spans="28:30">
      <c r="AB295" s="169">
        <v>856464.06299999997</v>
      </c>
      <c r="AC295" s="169">
        <v>-25546.560000000001</v>
      </c>
      <c r="AD295" s="170">
        <v>1.9750000000000001</v>
      </c>
    </row>
    <row r="296" spans="28:30">
      <c r="AB296" s="169">
        <v>884091.93599999999</v>
      </c>
      <c r="AC296" s="169">
        <v>-25546.560000000001</v>
      </c>
      <c r="AD296" s="170">
        <v>1.64</v>
      </c>
    </row>
    <row r="297" spans="28:30">
      <c r="AB297" s="169">
        <v>911718.26199999999</v>
      </c>
      <c r="AC297" s="169">
        <v>-25546.560000000001</v>
      </c>
      <c r="AD297" s="170">
        <v>2.1549999999999998</v>
      </c>
    </row>
    <row r="298" spans="28:30">
      <c r="AB298" s="169">
        <v>939346.13500000001</v>
      </c>
      <c r="AC298" s="169">
        <v>-25546.560000000001</v>
      </c>
      <c r="AD298" s="170">
        <v>0.32500000000000001</v>
      </c>
    </row>
    <row r="299" spans="28:30">
      <c r="AB299" s="169">
        <v>966974.00800000003</v>
      </c>
      <c r="AC299" s="169">
        <v>-25546.560000000001</v>
      </c>
      <c r="AD299" s="170">
        <v>0.375</v>
      </c>
    </row>
    <row r="300" spans="28:30">
      <c r="AB300" s="169">
        <v>994601.88100000005</v>
      </c>
      <c r="AC300" s="169">
        <v>-25546.560000000001</v>
      </c>
      <c r="AD300" s="170">
        <v>0.1</v>
      </c>
    </row>
    <row r="301" spans="28:30">
      <c r="AB301" s="169">
        <v>1022229.754</v>
      </c>
      <c r="AC301" s="169">
        <v>-25546.560000000001</v>
      </c>
      <c r="AD301" s="170">
        <v>0.46500000000000002</v>
      </c>
    </row>
    <row r="302" spans="28:30">
      <c r="AB302" s="169">
        <v>1049857.6270000001</v>
      </c>
      <c r="AC302" s="169">
        <v>-25546.560000000001</v>
      </c>
      <c r="AD302" s="170">
        <v>0.13500000000000001</v>
      </c>
    </row>
    <row r="303" spans="28:30">
      <c r="AB303" s="169">
        <v>1077485.5</v>
      </c>
      <c r="AC303" s="169">
        <v>-25546.560000000001</v>
      </c>
      <c r="AD303" s="170">
        <v>0.27500000000000002</v>
      </c>
    </row>
    <row r="304" spans="28:30">
      <c r="AB304" s="169">
        <v>1105113.3729999999</v>
      </c>
      <c r="AC304" s="169">
        <v>-25546.560000000001</v>
      </c>
      <c r="AD304" s="170">
        <v>0.17499999999999999</v>
      </c>
    </row>
    <row r="305" spans="28:30">
      <c r="AB305" s="169">
        <v>1132741.246</v>
      </c>
      <c r="AC305" s="169">
        <v>-25546.560000000001</v>
      </c>
      <c r="AD305" s="170">
        <v>0.155</v>
      </c>
    </row>
    <row r="306" spans="28:30">
      <c r="AB306" s="169">
        <v>1160369.1189999999</v>
      </c>
      <c r="AC306" s="169">
        <v>-25546.560000000001</v>
      </c>
      <c r="AD306" s="170">
        <v>5.0000000000000001E-3</v>
      </c>
    </row>
    <row r="307" spans="28:30">
      <c r="AB307" s="169">
        <v>1187996.9920000001</v>
      </c>
      <c r="AC307" s="169">
        <v>-25546.560000000001</v>
      </c>
      <c r="AD307" s="170">
        <v>0.1</v>
      </c>
    </row>
    <row r="308" spans="28:30">
      <c r="AB308" s="169">
        <v>1215624.865</v>
      </c>
      <c r="AC308" s="169">
        <v>-25546.560000000001</v>
      </c>
      <c r="AD308" s="170">
        <v>7.0000000000000007E-2</v>
      </c>
    </row>
    <row r="309" spans="28:30">
      <c r="AB309" s="169">
        <v>1243252.7379999999</v>
      </c>
      <c r="AC309" s="169">
        <v>-25546.560000000001</v>
      </c>
      <c r="AD309" s="170">
        <v>0.2</v>
      </c>
    </row>
    <row r="310" spans="28:30">
      <c r="AB310" s="169">
        <v>1270880.611</v>
      </c>
      <c r="AC310" s="169">
        <v>-25546.560000000001</v>
      </c>
      <c r="AD310" s="170">
        <v>0.1</v>
      </c>
    </row>
    <row r="311" spans="28:30">
      <c r="AB311" s="169">
        <v>1298508.4839999999</v>
      </c>
      <c r="AC311" s="169">
        <v>-25546.560000000001</v>
      </c>
      <c r="AD311" s="170">
        <v>0.1</v>
      </c>
    </row>
    <row r="312" spans="28:30">
      <c r="AB312" s="169">
        <v>1326136.3570000001</v>
      </c>
      <c r="AC312" s="169">
        <v>-25546.560000000001</v>
      </c>
      <c r="AD312" s="170">
        <v>0.125</v>
      </c>
    </row>
    <row r="313" spans="28:30">
      <c r="AB313" s="169">
        <v>0.1330700007</v>
      </c>
      <c r="AC313" s="169">
        <v>-4231.942</v>
      </c>
      <c r="AD313" s="170">
        <v>46041800</v>
      </c>
    </row>
    <row r="314" spans="28:30">
      <c r="AB314" s="169">
        <v>27628.027699999999</v>
      </c>
      <c r="AC314" s="169">
        <v>-4231.942</v>
      </c>
      <c r="AD314" s="170">
        <v>6236440</v>
      </c>
    </row>
    <row r="315" spans="28:30">
      <c r="AB315" s="169">
        <v>55255.900699999998</v>
      </c>
      <c r="AC315" s="169">
        <v>-4231.942</v>
      </c>
      <c r="AD315" s="170">
        <v>2302250</v>
      </c>
    </row>
    <row r="316" spans="28:30">
      <c r="AB316" s="169">
        <v>82883.619000000006</v>
      </c>
      <c r="AC316" s="169">
        <v>-4231.942</v>
      </c>
      <c r="AD316" s="170">
        <v>923905</v>
      </c>
    </row>
    <row r="317" spans="28:30">
      <c r="AB317" s="169">
        <v>110511.492</v>
      </c>
      <c r="AC317" s="169">
        <v>-4231.942</v>
      </c>
      <c r="AD317" s="170">
        <v>366681</v>
      </c>
    </row>
    <row r="318" spans="28:30">
      <c r="AB318" s="169">
        <v>138139.36499999999</v>
      </c>
      <c r="AC318" s="169">
        <v>-4231.942</v>
      </c>
      <c r="AD318" s="170">
        <v>164273</v>
      </c>
    </row>
    <row r="319" spans="28:30">
      <c r="AB319" s="169">
        <v>165767.23800000001</v>
      </c>
      <c r="AC319" s="169">
        <v>-4231.942</v>
      </c>
      <c r="AD319" s="170">
        <v>71141.5</v>
      </c>
    </row>
    <row r="320" spans="28:30">
      <c r="AB320" s="169">
        <v>193395.111</v>
      </c>
      <c r="AC320" s="169">
        <v>-4231.942</v>
      </c>
      <c r="AD320" s="170">
        <v>31134.1</v>
      </c>
    </row>
    <row r="321" spans="28:30">
      <c r="AB321" s="169">
        <v>221022.984</v>
      </c>
      <c r="AC321" s="169">
        <v>-4231.942</v>
      </c>
      <c r="AD321" s="170">
        <v>19883.099999999999</v>
      </c>
    </row>
    <row r="322" spans="28:30">
      <c r="AB322" s="169">
        <v>248650.85699999999</v>
      </c>
      <c r="AC322" s="169">
        <v>-4231.942</v>
      </c>
      <c r="AD322" s="170">
        <v>14090.7</v>
      </c>
    </row>
    <row r="323" spans="28:30">
      <c r="AB323" s="169">
        <v>276278.73</v>
      </c>
      <c r="AC323" s="169">
        <v>-4231.942</v>
      </c>
      <c r="AD323" s="170">
        <v>9431.65</v>
      </c>
    </row>
    <row r="324" spans="28:30">
      <c r="AB324" s="169">
        <v>303906.603</v>
      </c>
      <c r="AC324" s="169">
        <v>-4231.942</v>
      </c>
      <c r="AD324" s="170">
        <v>5891.55</v>
      </c>
    </row>
    <row r="325" spans="28:30">
      <c r="AB325" s="169">
        <v>331534.47600000002</v>
      </c>
      <c r="AC325" s="169">
        <v>-4231.942</v>
      </c>
      <c r="AD325" s="170">
        <v>4118.96</v>
      </c>
    </row>
    <row r="326" spans="28:30">
      <c r="AB326" s="169">
        <v>359162.34899999999</v>
      </c>
      <c r="AC326" s="169">
        <v>-4231.942</v>
      </c>
      <c r="AD326" s="170">
        <v>2670.47</v>
      </c>
    </row>
    <row r="327" spans="28:30">
      <c r="AB327" s="169">
        <v>386790.22200000001</v>
      </c>
      <c r="AC327" s="169">
        <v>-4231.942</v>
      </c>
      <c r="AD327" s="170">
        <v>2812.91</v>
      </c>
    </row>
    <row r="328" spans="28:30">
      <c r="AB328" s="169">
        <v>414418.09499999997</v>
      </c>
      <c r="AC328" s="169">
        <v>-4231.942</v>
      </c>
      <c r="AD328" s="170">
        <v>2130.63</v>
      </c>
    </row>
    <row r="329" spans="28:30">
      <c r="AB329" s="169">
        <v>442045.96799999999</v>
      </c>
      <c r="AC329" s="169">
        <v>-4231.942</v>
      </c>
      <c r="AD329" s="170">
        <v>1035</v>
      </c>
    </row>
    <row r="330" spans="28:30">
      <c r="AB330" s="169">
        <v>469673.84100000001</v>
      </c>
      <c r="AC330" s="169">
        <v>-4231.942</v>
      </c>
      <c r="AD330" s="170">
        <v>854.52499999999998</v>
      </c>
    </row>
    <row r="331" spans="28:30">
      <c r="AB331" s="169">
        <v>497301.71399999998</v>
      </c>
      <c r="AC331" s="169">
        <v>-4231.942</v>
      </c>
      <c r="AD331" s="170">
        <v>617.42499999999995</v>
      </c>
    </row>
    <row r="332" spans="28:30">
      <c r="AB332" s="169">
        <v>524929.58700000006</v>
      </c>
      <c r="AC332" s="169">
        <v>-4231.942</v>
      </c>
      <c r="AD332" s="170">
        <v>551.81500000000005</v>
      </c>
    </row>
    <row r="333" spans="28:30">
      <c r="AB333" s="169">
        <v>552557.46</v>
      </c>
      <c r="AC333" s="169">
        <v>-4231.942</v>
      </c>
      <c r="AD333" s="170">
        <v>428.40499999999997</v>
      </c>
    </row>
    <row r="334" spans="28:30">
      <c r="AB334" s="169">
        <v>580185.33299999998</v>
      </c>
      <c r="AC334" s="169">
        <v>-4231.942</v>
      </c>
      <c r="AD334" s="170">
        <v>309.97000000000003</v>
      </c>
    </row>
    <row r="335" spans="28:30">
      <c r="AB335" s="169">
        <v>607813.20600000001</v>
      </c>
      <c r="AC335" s="169">
        <v>-4231.942</v>
      </c>
      <c r="AD335" s="170">
        <v>180.125</v>
      </c>
    </row>
    <row r="336" spans="28:30">
      <c r="AB336" s="169">
        <v>635441.07900000003</v>
      </c>
      <c r="AC336" s="169">
        <v>-4231.942</v>
      </c>
      <c r="AD336" s="170">
        <v>122.51</v>
      </c>
    </row>
    <row r="337" spans="28:30">
      <c r="AB337" s="169">
        <v>663068.95200000005</v>
      </c>
      <c r="AC337" s="169">
        <v>-4231.942</v>
      </c>
      <c r="AD337" s="170">
        <v>88.07</v>
      </c>
    </row>
    <row r="338" spans="28:30">
      <c r="AB338" s="169">
        <v>690696.82499999995</v>
      </c>
      <c r="AC338" s="169">
        <v>-4231.942</v>
      </c>
      <c r="AD338" s="170">
        <v>66.010000000000005</v>
      </c>
    </row>
    <row r="339" spans="28:30">
      <c r="AB339" s="169">
        <v>718324.69799999997</v>
      </c>
      <c r="AC339" s="169">
        <v>-4231.942</v>
      </c>
      <c r="AD339" s="170">
        <v>45.33</v>
      </c>
    </row>
    <row r="340" spans="28:30">
      <c r="AB340" s="169">
        <v>745952.571</v>
      </c>
      <c r="AC340" s="169">
        <v>-4231.942</v>
      </c>
      <c r="AD340" s="170">
        <v>34.340000000000003</v>
      </c>
    </row>
    <row r="341" spans="28:30">
      <c r="AB341" s="169">
        <v>773580.44400000002</v>
      </c>
      <c r="AC341" s="169">
        <v>-4231.942</v>
      </c>
      <c r="AD341" s="170">
        <v>22.945</v>
      </c>
    </row>
    <row r="342" spans="28:30">
      <c r="AB342" s="169">
        <v>801208.31700000004</v>
      </c>
      <c r="AC342" s="169">
        <v>-4231.942</v>
      </c>
      <c r="AD342" s="170">
        <v>20.51</v>
      </c>
    </row>
    <row r="343" spans="28:30">
      <c r="AB343" s="169">
        <v>828836.19</v>
      </c>
      <c r="AC343" s="169">
        <v>-4231.942</v>
      </c>
      <c r="AD343" s="170">
        <v>17.7</v>
      </c>
    </row>
    <row r="344" spans="28:30">
      <c r="AB344" s="169">
        <v>856464.06299999997</v>
      </c>
      <c r="AC344" s="169">
        <v>-4231.942</v>
      </c>
      <c r="AD344" s="170">
        <v>8.6199999999999992</v>
      </c>
    </row>
    <row r="345" spans="28:30">
      <c r="AB345" s="169">
        <v>884091.93599999999</v>
      </c>
      <c r="AC345" s="169">
        <v>-4231.942</v>
      </c>
      <c r="AD345" s="170">
        <v>6.46</v>
      </c>
    </row>
    <row r="346" spans="28:30">
      <c r="AB346" s="169">
        <v>911718.26199999999</v>
      </c>
      <c r="AC346" s="169">
        <v>-4231.942</v>
      </c>
      <c r="AD346" s="170">
        <v>2.2999999999999998</v>
      </c>
    </row>
    <row r="347" spans="28:30">
      <c r="AB347" s="169">
        <v>939346.13500000001</v>
      </c>
      <c r="AC347" s="169">
        <v>-4231.942</v>
      </c>
      <c r="AD347" s="170">
        <v>1.625</v>
      </c>
    </row>
    <row r="348" spans="28:30">
      <c r="AB348" s="169">
        <v>966974.00800000003</v>
      </c>
      <c r="AC348" s="169">
        <v>-4231.942</v>
      </c>
      <c r="AD348" s="170">
        <v>4.5199999999999996</v>
      </c>
    </row>
    <row r="349" spans="28:30">
      <c r="AB349" s="169">
        <v>994601.88100000005</v>
      </c>
      <c r="AC349" s="169">
        <v>-4231.942</v>
      </c>
      <c r="AD349" s="170">
        <v>1.9350000000000001</v>
      </c>
    </row>
    <row r="350" spans="28:30">
      <c r="AB350" s="169">
        <v>1022229.754</v>
      </c>
      <c r="AC350" s="169">
        <v>-4231.942</v>
      </c>
      <c r="AD350" s="170">
        <v>0.93</v>
      </c>
    </row>
    <row r="351" spans="28:30">
      <c r="AB351" s="169">
        <v>1049857.6270000001</v>
      </c>
      <c r="AC351" s="169">
        <v>-4231.942</v>
      </c>
      <c r="AD351" s="170">
        <v>0.85499999999999998</v>
      </c>
    </row>
    <row r="352" spans="28:30">
      <c r="AB352" s="169">
        <v>1077485.5</v>
      </c>
      <c r="AC352" s="169">
        <v>-4231.942</v>
      </c>
      <c r="AD352" s="170">
        <v>0.87</v>
      </c>
    </row>
    <row r="353" spans="28:30">
      <c r="AB353" s="169">
        <v>1105113.3729999999</v>
      </c>
      <c r="AC353" s="169">
        <v>-4231.942</v>
      </c>
      <c r="AD353" s="170">
        <v>0.38500000000000001</v>
      </c>
    </row>
    <row r="354" spans="28:30">
      <c r="AB354" s="169">
        <v>1132741.246</v>
      </c>
      <c r="AC354" s="169">
        <v>-4231.942</v>
      </c>
      <c r="AD354" s="170">
        <v>0.60499999999999998</v>
      </c>
    </row>
    <row r="355" spans="28:30">
      <c r="AB355" s="169">
        <v>1160369.1189999999</v>
      </c>
      <c r="AC355" s="169">
        <v>-4231.942</v>
      </c>
      <c r="AD355" s="170">
        <v>1.18</v>
      </c>
    </row>
    <row r="356" spans="28:30">
      <c r="AB356" s="169">
        <v>1187996.9920000001</v>
      </c>
      <c r="AC356" s="169">
        <v>-4231.942</v>
      </c>
      <c r="AD356" s="170">
        <v>0.41499999999999998</v>
      </c>
    </row>
    <row r="357" spans="28:30">
      <c r="AB357" s="169">
        <v>1215624.865</v>
      </c>
      <c r="AC357" s="169">
        <v>-4231.942</v>
      </c>
      <c r="AD357" s="170">
        <v>0.32</v>
      </c>
    </row>
    <row r="358" spans="28:30">
      <c r="AB358" s="169">
        <v>1243252.7379999999</v>
      </c>
      <c r="AC358" s="169">
        <v>-4231.942</v>
      </c>
      <c r="AD358" s="170">
        <v>0.11</v>
      </c>
    </row>
    <row r="359" spans="28:30">
      <c r="AB359" s="169">
        <v>1270880.611</v>
      </c>
      <c r="AC359" s="169">
        <v>-4231.942</v>
      </c>
      <c r="AD359" s="170">
        <v>0.11</v>
      </c>
    </row>
    <row r="360" spans="28:30">
      <c r="AB360" s="169">
        <v>1298508.4839999999</v>
      </c>
      <c r="AC360" s="169">
        <v>-4231.942</v>
      </c>
      <c r="AD360" s="170">
        <v>0.22500000000000001</v>
      </c>
    </row>
    <row r="361" spans="28:30">
      <c r="AB361" s="169">
        <v>1326136.3570000001</v>
      </c>
      <c r="AC361" s="169">
        <v>-4231.942</v>
      </c>
      <c r="AD361" s="170">
        <v>0.125</v>
      </c>
    </row>
    <row r="362" spans="28:30">
      <c r="AB362" s="169">
        <v>1353764.23</v>
      </c>
      <c r="AC362" s="169">
        <v>-4231.942</v>
      </c>
      <c r="AD362" s="170">
        <v>0.1</v>
      </c>
    </row>
    <row r="363" spans="28:30">
      <c r="AB363" s="169">
        <v>1381392.1029999999</v>
      </c>
      <c r="AC363" s="169">
        <v>-4231.942</v>
      </c>
      <c r="AD363" s="170">
        <v>0.05</v>
      </c>
    </row>
    <row r="364" spans="28:30">
      <c r="AB364" s="169">
        <v>0.1330700007</v>
      </c>
      <c r="AC364" s="169">
        <v>17082.78</v>
      </c>
      <c r="AD364" s="170">
        <v>44516900</v>
      </c>
    </row>
    <row r="365" spans="28:30">
      <c r="AB365" s="169">
        <v>27628.027699999999</v>
      </c>
      <c r="AC365" s="169">
        <v>17082.78</v>
      </c>
      <c r="AD365" s="170">
        <v>5726790</v>
      </c>
    </row>
    <row r="366" spans="28:30">
      <c r="AB366" s="169">
        <v>55255.900699999998</v>
      </c>
      <c r="AC366" s="169">
        <v>17082.78</v>
      </c>
      <c r="AD366" s="170">
        <v>2292780</v>
      </c>
    </row>
    <row r="367" spans="28:30">
      <c r="AB367" s="169">
        <v>82883.619000000006</v>
      </c>
      <c r="AC367" s="169">
        <v>17082.78</v>
      </c>
      <c r="AD367" s="170">
        <v>1018800</v>
      </c>
    </row>
    <row r="368" spans="28:30">
      <c r="AB368" s="169">
        <v>110511.492</v>
      </c>
      <c r="AC368" s="169">
        <v>17082.78</v>
      </c>
      <c r="AD368" s="170">
        <v>496361</v>
      </c>
    </row>
    <row r="369" spans="28:30">
      <c r="AB369" s="169">
        <v>138139.36499999999</v>
      </c>
      <c r="AC369" s="169">
        <v>17082.78</v>
      </c>
      <c r="AD369" s="170">
        <v>250378</v>
      </c>
    </row>
    <row r="370" spans="28:30">
      <c r="AB370" s="169">
        <v>165767.23800000001</v>
      </c>
      <c r="AC370" s="169">
        <v>17082.78</v>
      </c>
      <c r="AD370" s="170">
        <v>129445</v>
      </c>
    </row>
    <row r="371" spans="28:30">
      <c r="AB371" s="169">
        <v>193395.111</v>
      </c>
      <c r="AC371" s="169">
        <v>17082.78</v>
      </c>
      <c r="AD371" s="170">
        <v>91542.1</v>
      </c>
    </row>
    <row r="372" spans="28:30">
      <c r="AB372" s="169">
        <v>221022.984</v>
      </c>
      <c r="AC372" s="169">
        <v>17082.78</v>
      </c>
      <c r="AD372" s="170">
        <v>62129.5</v>
      </c>
    </row>
    <row r="373" spans="28:30">
      <c r="AB373" s="169">
        <v>248650.85699999999</v>
      </c>
      <c r="AC373" s="169">
        <v>17082.78</v>
      </c>
      <c r="AD373" s="170">
        <v>45865.4</v>
      </c>
    </row>
    <row r="374" spans="28:30">
      <c r="AB374" s="169">
        <v>276278.73</v>
      </c>
      <c r="AC374" s="169">
        <v>17082.78</v>
      </c>
      <c r="AD374" s="170">
        <v>32068.2</v>
      </c>
    </row>
    <row r="375" spans="28:30">
      <c r="AB375" s="169">
        <v>303906.603</v>
      </c>
      <c r="AC375" s="169">
        <v>17082.78</v>
      </c>
      <c r="AD375" s="170">
        <v>25712.9</v>
      </c>
    </row>
    <row r="376" spans="28:30">
      <c r="AB376" s="169">
        <v>331534.47600000002</v>
      </c>
      <c r="AC376" s="169">
        <v>17082.78</v>
      </c>
      <c r="AD376" s="170">
        <v>18668.099999999999</v>
      </c>
    </row>
    <row r="377" spans="28:30">
      <c r="AB377" s="169">
        <v>359162.34899999999</v>
      </c>
      <c r="AC377" s="169">
        <v>17082.78</v>
      </c>
      <c r="AD377" s="170">
        <v>12909.7</v>
      </c>
    </row>
    <row r="378" spans="28:30">
      <c r="AB378" s="169">
        <v>386790.22200000001</v>
      </c>
      <c r="AC378" s="169">
        <v>17082.78</v>
      </c>
      <c r="AD378" s="170">
        <v>9705.42</v>
      </c>
    </row>
    <row r="379" spans="28:30">
      <c r="AB379" s="169">
        <v>414418.09499999997</v>
      </c>
      <c r="AC379" s="169">
        <v>17082.78</v>
      </c>
      <c r="AD379" s="170">
        <v>6275.89</v>
      </c>
    </row>
    <row r="380" spans="28:30">
      <c r="AB380" s="169">
        <v>442045.96799999999</v>
      </c>
      <c r="AC380" s="169">
        <v>17082.78</v>
      </c>
      <c r="AD380" s="170">
        <v>4191.3100000000004</v>
      </c>
    </row>
    <row r="381" spans="28:30">
      <c r="AB381" s="169">
        <v>469673.84100000001</v>
      </c>
      <c r="AC381" s="169">
        <v>17082.78</v>
      </c>
      <c r="AD381" s="170">
        <v>2963.11</v>
      </c>
    </row>
    <row r="382" spans="28:30">
      <c r="AB382" s="169">
        <v>497301.71399999998</v>
      </c>
      <c r="AC382" s="169">
        <v>17082.78</v>
      </c>
      <c r="AD382" s="170">
        <v>2125.96</v>
      </c>
    </row>
    <row r="383" spans="28:30">
      <c r="AB383" s="169">
        <v>524929.58700000006</v>
      </c>
      <c r="AC383" s="169">
        <v>17082.78</v>
      </c>
      <c r="AD383" s="170">
        <v>1565.62</v>
      </c>
    </row>
    <row r="384" spans="28:30">
      <c r="AB384" s="169">
        <v>552557.46</v>
      </c>
      <c r="AC384" s="169">
        <v>17082.78</v>
      </c>
      <c r="AD384" s="170">
        <v>1014.58</v>
      </c>
    </row>
    <row r="385" spans="28:30">
      <c r="AB385" s="169">
        <v>580185.33299999998</v>
      </c>
      <c r="AC385" s="169">
        <v>17082.78</v>
      </c>
      <c r="AD385" s="170">
        <v>670.20500000000004</v>
      </c>
    </row>
    <row r="386" spans="28:30">
      <c r="AB386" s="169">
        <v>607813.20600000001</v>
      </c>
      <c r="AC386" s="169">
        <v>17082.78</v>
      </c>
      <c r="AD386" s="170">
        <v>495.33</v>
      </c>
    </row>
    <row r="387" spans="28:30">
      <c r="AB387" s="169">
        <v>635441.07900000003</v>
      </c>
      <c r="AC387" s="169">
        <v>17082.78</v>
      </c>
      <c r="AD387" s="170">
        <v>462.04</v>
      </c>
    </row>
    <row r="388" spans="28:30">
      <c r="AB388" s="169">
        <v>663068.95200000005</v>
      </c>
      <c r="AC388" s="169">
        <v>17082.78</v>
      </c>
      <c r="AD388" s="170">
        <v>238.94499999999999</v>
      </c>
    </row>
    <row r="389" spans="28:30">
      <c r="AB389" s="169">
        <v>690696.82499999995</v>
      </c>
      <c r="AC389" s="169">
        <v>17082.78</v>
      </c>
      <c r="AD389" s="170">
        <v>142.24</v>
      </c>
    </row>
    <row r="390" spans="28:30">
      <c r="AB390" s="169">
        <v>718324.69799999997</v>
      </c>
      <c r="AC390" s="169">
        <v>17082.78</v>
      </c>
      <c r="AD390" s="170">
        <v>119.8</v>
      </c>
    </row>
    <row r="391" spans="28:30">
      <c r="AB391" s="169">
        <v>745952.571</v>
      </c>
      <c r="AC391" s="169">
        <v>17082.78</v>
      </c>
      <c r="AD391" s="170">
        <v>57.55</v>
      </c>
    </row>
    <row r="392" spans="28:30">
      <c r="AB392" s="169">
        <v>773580.44400000002</v>
      </c>
      <c r="AC392" s="169">
        <v>17082.78</v>
      </c>
      <c r="AD392" s="170">
        <v>29.215</v>
      </c>
    </row>
    <row r="393" spans="28:30">
      <c r="AB393" s="169">
        <v>801208.31700000004</v>
      </c>
      <c r="AC393" s="169">
        <v>17082.78</v>
      </c>
      <c r="AD393" s="170">
        <v>14.765000000000001</v>
      </c>
    </row>
    <row r="394" spans="28:30">
      <c r="AB394" s="169">
        <v>828836.19</v>
      </c>
      <c r="AC394" s="169">
        <v>17082.78</v>
      </c>
      <c r="AD394" s="170">
        <v>14.875</v>
      </c>
    </row>
    <row r="395" spans="28:30">
      <c r="AB395" s="169">
        <v>856464.06299999997</v>
      </c>
      <c r="AC395" s="169">
        <v>17082.78</v>
      </c>
      <c r="AD395" s="170">
        <v>7.8949999999999996</v>
      </c>
    </row>
    <row r="396" spans="28:30">
      <c r="AB396" s="169">
        <v>884091.93599999999</v>
      </c>
      <c r="AC396" s="169">
        <v>17082.78</v>
      </c>
      <c r="AD396" s="170">
        <v>3.6749999999999998</v>
      </c>
    </row>
    <row r="397" spans="28:30">
      <c r="AB397" s="169">
        <v>911718.26199999999</v>
      </c>
      <c r="AC397" s="169">
        <v>17082.78</v>
      </c>
      <c r="AD397" s="170">
        <v>2.835</v>
      </c>
    </row>
    <row r="398" spans="28:30">
      <c r="AB398" s="169">
        <v>939346.13500000001</v>
      </c>
      <c r="AC398" s="169">
        <v>17082.78</v>
      </c>
      <c r="AD398" s="170">
        <v>2.3450000000000002</v>
      </c>
    </row>
    <row r="399" spans="28:30">
      <c r="AB399" s="169">
        <v>966974.00800000003</v>
      </c>
      <c r="AC399" s="169">
        <v>17082.78</v>
      </c>
      <c r="AD399" s="170">
        <v>1.655</v>
      </c>
    </row>
    <row r="400" spans="28:30">
      <c r="AB400" s="169">
        <v>994601.88100000005</v>
      </c>
      <c r="AC400" s="169">
        <v>17082.78</v>
      </c>
      <c r="AD400" s="170">
        <v>0.23</v>
      </c>
    </row>
    <row r="401" spans="28:30">
      <c r="AB401" s="169">
        <v>1022229.754</v>
      </c>
      <c r="AC401" s="169">
        <v>17082.78</v>
      </c>
      <c r="AD401" s="170">
        <v>1.4999999999999999E-2</v>
      </c>
    </row>
    <row r="402" spans="28:30">
      <c r="AB402" s="169">
        <v>1049857.6270000001</v>
      </c>
      <c r="AC402" s="169">
        <v>17082.78</v>
      </c>
      <c r="AD402" s="170">
        <v>0.24</v>
      </c>
    </row>
    <row r="403" spans="28:30">
      <c r="AB403" s="169">
        <v>1077485.5</v>
      </c>
      <c r="AC403" s="169">
        <v>17082.78</v>
      </c>
      <c r="AD403" s="170">
        <v>0.03</v>
      </c>
    </row>
    <row r="404" spans="28:30">
      <c r="AB404" s="169">
        <v>1105113.3729999999</v>
      </c>
      <c r="AC404" s="169">
        <v>17082.78</v>
      </c>
      <c r="AD404" s="170">
        <v>0.15</v>
      </c>
    </row>
    <row r="405" spans="28:30">
      <c r="AB405" s="169">
        <v>1132741.246</v>
      </c>
      <c r="AC405" s="169">
        <v>17082.78</v>
      </c>
      <c r="AD405" s="170">
        <v>1.4999999999999999E-2</v>
      </c>
    </row>
    <row r="406" spans="28:30">
      <c r="AB406" s="169">
        <v>1160369.1189999999</v>
      </c>
      <c r="AC406" s="169">
        <v>17082.78</v>
      </c>
      <c r="AD406" s="170">
        <v>0.02</v>
      </c>
    </row>
    <row r="407" spans="28:30">
      <c r="AB407" s="169">
        <v>1215624.865</v>
      </c>
      <c r="AC407" s="169">
        <v>17082.78</v>
      </c>
      <c r="AD407" s="170">
        <v>0.1</v>
      </c>
    </row>
    <row r="408" spans="28:30">
      <c r="AB408" s="169">
        <v>1243252.7379999999</v>
      </c>
      <c r="AC408" s="169">
        <v>17082.78</v>
      </c>
      <c r="AD408" s="170">
        <v>0.01</v>
      </c>
    </row>
    <row r="409" spans="28:30">
      <c r="AB409" s="169">
        <v>1270880.611</v>
      </c>
      <c r="AC409" s="169">
        <v>17082.78</v>
      </c>
      <c r="AD409" s="170">
        <v>4.4999999999999998E-2</v>
      </c>
    </row>
    <row r="410" spans="28:30">
      <c r="AB410" s="169">
        <v>0.1330700007</v>
      </c>
      <c r="AC410" s="169">
        <v>38397.449999999997</v>
      </c>
      <c r="AD410" s="170">
        <v>36636100</v>
      </c>
    </row>
    <row r="411" spans="28:30">
      <c r="AB411" s="169">
        <v>27628.027699999999</v>
      </c>
      <c r="AC411" s="169">
        <v>38397.449999999997</v>
      </c>
      <c r="AD411" s="170">
        <v>4508940</v>
      </c>
    </row>
    <row r="412" spans="28:30">
      <c r="AB412" s="169">
        <v>55255.900699999998</v>
      </c>
      <c r="AC412" s="169">
        <v>38397.449999999997</v>
      </c>
      <c r="AD412" s="170">
        <v>2094400</v>
      </c>
    </row>
    <row r="413" spans="28:30">
      <c r="AB413" s="169">
        <v>82883.619000000006</v>
      </c>
      <c r="AC413" s="169">
        <v>38397.449999999997</v>
      </c>
      <c r="AD413" s="170">
        <v>1003540</v>
      </c>
    </row>
    <row r="414" spans="28:30">
      <c r="AB414" s="169">
        <v>110511.492</v>
      </c>
      <c r="AC414" s="169">
        <v>38397.449999999997</v>
      </c>
      <c r="AD414" s="170">
        <v>486244</v>
      </c>
    </row>
    <row r="415" spans="28:30">
      <c r="AB415" s="169">
        <v>138139.36499999999</v>
      </c>
      <c r="AC415" s="169">
        <v>38397.449999999997</v>
      </c>
      <c r="AD415" s="170">
        <v>236461</v>
      </c>
    </row>
    <row r="416" spans="28:30">
      <c r="AB416" s="169">
        <v>165767.23800000001</v>
      </c>
      <c r="AC416" s="169">
        <v>38397.449999999997</v>
      </c>
      <c r="AD416" s="170">
        <v>142252</v>
      </c>
    </row>
    <row r="417" spans="28:30">
      <c r="AB417" s="169">
        <v>193395.111</v>
      </c>
      <c r="AC417" s="169">
        <v>38397.449999999997</v>
      </c>
      <c r="AD417" s="170">
        <v>84407.9</v>
      </c>
    </row>
    <row r="418" spans="28:30">
      <c r="AB418" s="169">
        <v>221022.984</v>
      </c>
      <c r="AC418" s="169">
        <v>38397.449999999997</v>
      </c>
      <c r="AD418" s="170">
        <v>56315.1</v>
      </c>
    </row>
    <row r="419" spans="28:30">
      <c r="AB419" s="169">
        <v>248650.85699999999</v>
      </c>
      <c r="AC419" s="169">
        <v>38397.449999999997</v>
      </c>
      <c r="AD419" s="170">
        <v>43162.7</v>
      </c>
    </row>
    <row r="420" spans="28:30">
      <c r="AB420" s="169">
        <v>276278.73</v>
      </c>
      <c r="AC420" s="169">
        <v>38397.449999999997</v>
      </c>
      <c r="AD420" s="170">
        <v>30297.5</v>
      </c>
    </row>
    <row r="421" spans="28:30">
      <c r="AB421" s="169">
        <v>303906.603</v>
      </c>
      <c r="AC421" s="169">
        <v>38397.449999999997</v>
      </c>
      <c r="AD421" s="170">
        <v>20940.3</v>
      </c>
    </row>
    <row r="422" spans="28:30">
      <c r="AB422" s="169">
        <v>331534.47600000002</v>
      </c>
      <c r="AC422" s="169">
        <v>38397.449999999997</v>
      </c>
      <c r="AD422" s="170">
        <v>13389.9</v>
      </c>
    </row>
    <row r="423" spans="28:30">
      <c r="AB423" s="169">
        <v>359162.34899999999</v>
      </c>
      <c r="AC423" s="169">
        <v>38397.449999999997</v>
      </c>
      <c r="AD423" s="170">
        <v>10734.9</v>
      </c>
    </row>
    <row r="424" spans="28:30">
      <c r="AB424" s="169">
        <v>386790.22200000001</v>
      </c>
      <c r="AC424" s="169">
        <v>38397.449999999997</v>
      </c>
      <c r="AD424" s="170">
        <v>7284.33</v>
      </c>
    </row>
    <row r="425" spans="28:30">
      <c r="AB425" s="169">
        <v>414418.09499999997</v>
      </c>
      <c r="AC425" s="169">
        <v>38397.449999999997</v>
      </c>
      <c r="AD425" s="170">
        <v>5054.97</v>
      </c>
    </row>
    <row r="426" spans="28:30">
      <c r="AB426" s="169">
        <v>442045.96799999999</v>
      </c>
      <c r="AC426" s="169">
        <v>38397.449999999997</v>
      </c>
      <c r="AD426" s="170">
        <v>3459.55</v>
      </c>
    </row>
    <row r="427" spans="28:30">
      <c r="AB427" s="169">
        <v>469673.84100000001</v>
      </c>
      <c r="AC427" s="169">
        <v>38397.449999999997</v>
      </c>
      <c r="AD427" s="170">
        <v>2019.3</v>
      </c>
    </row>
    <row r="428" spans="28:30">
      <c r="AB428" s="169">
        <v>497301.71399999998</v>
      </c>
      <c r="AC428" s="169">
        <v>38397.449999999997</v>
      </c>
      <c r="AD428" s="170">
        <v>1398.4</v>
      </c>
    </row>
    <row r="429" spans="28:30">
      <c r="AB429" s="169">
        <v>524929.58700000006</v>
      </c>
      <c r="AC429" s="169">
        <v>38397.449999999997</v>
      </c>
      <c r="AD429" s="170">
        <v>1015.01</v>
      </c>
    </row>
    <row r="430" spans="28:30">
      <c r="AB430" s="169">
        <v>552557.46</v>
      </c>
      <c r="AC430" s="169">
        <v>38397.449999999997</v>
      </c>
      <c r="AD430" s="170">
        <v>1109.6600000000001</v>
      </c>
    </row>
    <row r="431" spans="28:30">
      <c r="AB431" s="169">
        <v>580185.33299999998</v>
      </c>
      <c r="AC431" s="169">
        <v>38397.449999999997</v>
      </c>
      <c r="AD431" s="170">
        <v>598.67499999999995</v>
      </c>
    </row>
    <row r="432" spans="28:30">
      <c r="AB432" s="169">
        <v>607813.20600000001</v>
      </c>
      <c r="AC432" s="169">
        <v>38397.449999999997</v>
      </c>
      <c r="AD432" s="170">
        <v>449.60500000000002</v>
      </c>
    </row>
    <row r="433" spans="28:30">
      <c r="AB433" s="169">
        <v>635441.07900000003</v>
      </c>
      <c r="AC433" s="169">
        <v>38397.449999999997</v>
      </c>
      <c r="AD433" s="170">
        <v>229.94</v>
      </c>
    </row>
    <row r="434" spans="28:30">
      <c r="AB434" s="169">
        <v>663068.95200000005</v>
      </c>
      <c r="AC434" s="169">
        <v>38397.449999999997</v>
      </c>
      <c r="AD434" s="170">
        <v>112.68</v>
      </c>
    </row>
    <row r="435" spans="28:30">
      <c r="AB435" s="169">
        <v>690696.82499999995</v>
      </c>
      <c r="AC435" s="169">
        <v>38397.449999999997</v>
      </c>
      <c r="AD435" s="170">
        <v>139.25</v>
      </c>
    </row>
    <row r="436" spans="28:30">
      <c r="AB436" s="169">
        <v>718324.69799999997</v>
      </c>
      <c r="AC436" s="169">
        <v>38397.449999999997</v>
      </c>
      <c r="AD436" s="170">
        <v>63.204999999999998</v>
      </c>
    </row>
    <row r="437" spans="28:30">
      <c r="AB437" s="169">
        <v>745952.571</v>
      </c>
      <c r="AC437" s="169">
        <v>38397.449999999997</v>
      </c>
      <c r="AD437" s="170">
        <v>26.105</v>
      </c>
    </row>
    <row r="438" spans="28:30">
      <c r="AB438" s="169">
        <v>773580.44400000002</v>
      </c>
      <c r="AC438" s="169">
        <v>38397.449999999997</v>
      </c>
      <c r="AD438" s="170">
        <v>11.715</v>
      </c>
    </row>
    <row r="439" spans="28:30">
      <c r="AB439" s="169">
        <v>801208.31700000004</v>
      </c>
      <c r="AC439" s="169">
        <v>38397.449999999997</v>
      </c>
      <c r="AD439" s="170">
        <v>8.0050000000000008</v>
      </c>
    </row>
    <row r="440" spans="28:30">
      <c r="AB440" s="169">
        <v>828836.19</v>
      </c>
      <c r="AC440" s="169">
        <v>38397.449999999997</v>
      </c>
      <c r="AD440" s="170">
        <v>3.49</v>
      </c>
    </row>
    <row r="441" spans="28:30">
      <c r="AB441" s="169">
        <v>856464.06299999997</v>
      </c>
      <c r="AC441" s="169">
        <v>38397.449999999997</v>
      </c>
      <c r="AD441" s="170">
        <v>0.74</v>
      </c>
    </row>
    <row r="442" spans="28:30">
      <c r="AB442" s="169">
        <v>911718.26199999999</v>
      </c>
      <c r="AC442" s="169">
        <v>38397.449999999997</v>
      </c>
      <c r="AD442" s="170">
        <v>0.02</v>
      </c>
    </row>
    <row r="443" spans="28:30">
      <c r="AB443" s="169">
        <v>939346.13500000001</v>
      </c>
      <c r="AC443" s="169">
        <v>38397.449999999997</v>
      </c>
      <c r="AD443" s="170">
        <v>5.5E-2</v>
      </c>
    </row>
    <row r="444" spans="28:30">
      <c r="AB444" s="169">
        <v>966974.00800000003</v>
      </c>
      <c r="AC444" s="169">
        <v>38397.449999999997</v>
      </c>
      <c r="AD444" s="170">
        <v>1.03</v>
      </c>
    </row>
    <row r="445" spans="28:30">
      <c r="AB445" s="169">
        <v>1077485.5</v>
      </c>
      <c r="AC445" s="169">
        <v>38397.449999999997</v>
      </c>
      <c r="AD445" s="170">
        <v>5.0000000000000001E-3</v>
      </c>
    </row>
    <row r="446" spans="28:30">
      <c r="AB446" s="169">
        <v>0.1330700007</v>
      </c>
      <c r="AC446" s="169">
        <v>59712.12</v>
      </c>
      <c r="AD446" s="170">
        <v>32978500</v>
      </c>
    </row>
    <row r="447" spans="28:30">
      <c r="AB447" s="169">
        <v>27628.027699999999</v>
      </c>
      <c r="AC447" s="169">
        <v>59712.12</v>
      </c>
      <c r="AD447" s="170">
        <v>2604650</v>
      </c>
    </row>
    <row r="448" spans="28:30">
      <c r="AB448" s="169">
        <v>55255.900699999998</v>
      </c>
      <c r="AC448" s="169">
        <v>59712.12</v>
      </c>
      <c r="AD448" s="170">
        <v>901599</v>
      </c>
    </row>
    <row r="449" spans="28:30">
      <c r="AB449" s="169">
        <v>82883.619000000006</v>
      </c>
      <c r="AC449" s="169">
        <v>59712.12</v>
      </c>
      <c r="AD449" s="170">
        <v>427317</v>
      </c>
    </row>
    <row r="450" spans="28:30">
      <c r="AB450" s="169">
        <v>110511.492</v>
      </c>
      <c r="AC450" s="169">
        <v>59712.12</v>
      </c>
      <c r="AD450" s="170">
        <v>168079</v>
      </c>
    </row>
    <row r="451" spans="28:30">
      <c r="AB451" s="169">
        <v>138139.36499999999</v>
      </c>
      <c r="AC451" s="169">
        <v>59712.12</v>
      </c>
      <c r="AD451" s="170">
        <v>71253.399999999994</v>
      </c>
    </row>
    <row r="452" spans="28:30">
      <c r="AB452" s="169">
        <v>165767.23800000001</v>
      </c>
      <c r="AC452" s="169">
        <v>59712.12</v>
      </c>
      <c r="AD452" s="170">
        <v>30715</v>
      </c>
    </row>
    <row r="453" spans="28:30">
      <c r="AB453" s="169">
        <v>193395.111</v>
      </c>
      <c r="AC453" s="169">
        <v>59712.12</v>
      </c>
      <c r="AD453" s="170">
        <v>14567.1</v>
      </c>
    </row>
    <row r="454" spans="28:30">
      <c r="AB454" s="169">
        <v>221022.984</v>
      </c>
      <c r="AC454" s="169">
        <v>59712.12</v>
      </c>
      <c r="AD454" s="170">
        <v>8533.7999999999993</v>
      </c>
    </row>
    <row r="455" spans="28:30">
      <c r="AB455" s="169">
        <v>248650.85699999999</v>
      </c>
      <c r="AC455" s="169">
        <v>59712.12</v>
      </c>
      <c r="AD455" s="170">
        <v>5169.97</v>
      </c>
    </row>
    <row r="456" spans="28:30">
      <c r="AB456" s="169">
        <v>276278.73</v>
      </c>
      <c r="AC456" s="169">
        <v>59712.12</v>
      </c>
      <c r="AD456" s="170">
        <v>2294.2399999999998</v>
      </c>
    </row>
    <row r="457" spans="28:30">
      <c r="AB457" s="169">
        <v>303906.603</v>
      </c>
      <c r="AC457" s="169">
        <v>59712.12</v>
      </c>
      <c r="AD457" s="170">
        <v>1667.95</v>
      </c>
    </row>
    <row r="458" spans="28:30">
      <c r="AB458" s="169">
        <v>331534.47600000002</v>
      </c>
      <c r="AC458" s="169">
        <v>59712.12</v>
      </c>
      <c r="AD458" s="170">
        <v>1821.88</v>
      </c>
    </row>
    <row r="459" spans="28:30">
      <c r="AB459" s="169">
        <v>359162.34899999999</v>
      </c>
      <c r="AC459" s="169">
        <v>59712.12</v>
      </c>
      <c r="AD459" s="170">
        <v>614.56500000000005</v>
      </c>
    </row>
    <row r="460" spans="28:30">
      <c r="AB460" s="169">
        <v>386790.22200000001</v>
      </c>
      <c r="AC460" s="169">
        <v>59712.12</v>
      </c>
      <c r="AD460" s="170">
        <v>1588.56</v>
      </c>
    </row>
    <row r="461" spans="28:30">
      <c r="AB461" s="169">
        <v>414418.09499999997</v>
      </c>
      <c r="AC461" s="169">
        <v>59712.12</v>
      </c>
      <c r="AD461" s="170">
        <v>1561.29</v>
      </c>
    </row>
    <row r="462" spans="28:30">
      <c r="AB462" s="169">
        <v>442045.96799999999</v>
      </c>
      <c r="AC462" s="169">
        <v>59712.12</v>
      </c>
      <c r="AD462" s="170">
        <v>391.30500000000001</v>
      </c>
    </row>
    <row r="463" spans="28:30">
      <c r="AB463" s="169">
        <v>469673.84100000001</v>
      </c>
      <c r="AC463" s="169">
        <v>59712.12</v>
      </c>
      <c r="AD463" s="170">
        <v>1503.52</v>
      </c>
    </row>
    <row r="464" spans="28:30">
      <c r="AB464" s="169">
        <v>497301.71399999998</v>
      </c>
      <c r="AC464" s="169">
        <v>59712.12</v>
      </c>
      <c r="AD464" s="170">
        <v>1333.66</v>
      </c>
    </row>
    <row r="465" spans="28:30">
      <c r="AB465" s="169">
        <v>524929.58700000006</v>
      </c>
      <c r="AC465" s="169">
        <v>59712.12</v>
      </c>
      <c r="AD465" s="170">
        <v>33.36</v>
      </c>
    </row>
    <row r="466" spans="28:30">
      <c r="AB466" s="169">
        <v>552557.46</v>
      </c>
      <c r="AC466" s="169">
        <v>59712.12</v>
      </c>
      <c r="AD466" s="170">
        <v>10.225</v>
      </c>
    </row>
    <row r="467" spans="28:30">
      <c r="AB467" s="169">
        <v>580185.33299999998</v>
      </c>
      <c r="AC467" s="169">
        <v>59712.12</v>
      </c>
      <c r="AD467" s="170">
        <v>7.92</v>
      </c>
    </row>
    <row r="468" spans="28:30">
      <c r="AB468" s="169">
        <v>607813.20600000001</v>
      </c>
      <c r="AC468" s="169">
        <v>59712.12</v>
      </c>
      <c r="AD468" s="170">
        <v>28.79</v>
      </c>
    </row>
    <row r="469" spans="28:30">
      <c r="AB469" s="169">
        <v>635441.07900000003</v>
      </c>
      <c r="AC469" s="169">
        <v>59712.12</v>
      </c>
      <c r="AD469" s="170">
        <v>5.9550000000000001</v>
      </c>
    </row>
    <row r="470" spans="28:30">
      <c r="AB470" s="169">
        <v>663068.95200000005</v>
      </c>
      <c r="AC470" s="169">
        <v>59712.12</v>
      </c>
      <c r="AD470" s="170">
        <v>5.125</v>
      </c>
    </row>
    <row r="471" spans="28:30">
      <c r="AB471" s="169">
        <v>690696.82499999995</v>
      </c>
      <c r="AC471" s="169">
        <v>59712.12</v>
      </c>
      <c r="AD471" s="170">
        <v>8.7550000000000008</v>
      </c>
    </row>
    <row r="472" spans="28:30">
      <c r="AB472" s="169">
        <v>718324.69799999997</v>
      </c>
      <c r="AC472" s="169">
        <v>59712.12</v>
      </c>
      <c r="AD472" s="170">
        <v>0.27</v>
      </c>
    </row>
    <row r="473" spans="28:30">
      <c r="AB473" s="169">
        <v>745952.571</v>
      </c>
      <c r="AC473" s="169">
        <v>59712.12</v>
      </c>
      <c r="AD473" s="170">
        <v>5.6550000000000002</v>
      </c>
    </row>
    <row r="474" spans="28:30">
      <c r="AB474" s="169">
        <v>773580.44400000002</v>
      </c>
      <c r="AC474" s="169">
        <v>59712.12</v>
      </c>
      <c r="AD474" s="170">
        <v>12.824999999999999</v>
      </c>
    </row>
    <row r="475" spans="28:30">
      <c r="AB475" s="169">
        <v>828836.19</v>
      </c>
      <c r="AC475" s="169">
        <v>59712.12</v>
      </c>
      <c r="AD475" s="170">
        <v>2.5000000000000001E-2</v>
      </c>
    </row>
    <row r="476" spans="28:30">
      <c r="AB476" s="169">
        <v>0.1330700007</v>
      </c>
      <c r="AC476" s="169">
        <v>81026.789999999994</v>
      </c>
      <c r="AD476" s="170">
        <v>35226900</v>
      </c>
    </row>
    <row r="477" spans="28:30">
      <c r="AB477" s="169">
        <v>27628.027699999999</v>
      </c>
      <c r="AC477" s="169">
        <v>81026.789999999994</v>
      </c>
      <c r="AD477" s="170">
        <v>2404700</v>
      </c>
    </row>
    <row r="478" spans="28:30">
      <c r="AB478" s="169">
        <v>55255.900699999998</v>
      </c>
      <c r="AC478" s="169">
        <v>81026.789999999994</v>
      </c>
      <c r="AD478" s="170">
        <v>576632</v>
      </c>
    </row>
    <row r="479" spans="28:30">
      <c r="AB479" s="169">
        <v>82883.619000000006</v>
      </c>
      <c r="AC479" s="169">
        <v>81026.789999999994</v>
      </c>
      <c r="AD479" s="170">
        <v>258917</v>
      </c>
    </row>
    <row r="480" spans="28:30">
      <c r="AB480" s="169">
        <v>110511.492</v>
      </c>
      <c r="AC480" s="169">
        <v>81026.789999999994</v>
      </c>
      <c r="AD480" s="170">
        <v>99099.3</v>
      </c>
    </row>
    <row r="481" spans="28:30">
      <c r="AB481" s="169">
        <v>138139.36499999999</v>
      </c>
      <c r="AC481" s="169">
        <v>81026.789999999994</v>
      </c>
      <c r="AD481" s="170">
        <v>32145.4</v>
      </c>
    </row>
    <row r="482" spans="28:30">
      <c r="AB482" s="169">
        <v>165767.23800000001</v>
      </c>
      <c r="AC482" s="169">
        <v>81026.789999999994</v>
      </c>
      <c r="AD482" s="170">
        <v>10338.700000000001</v>
      </c>
    </row>
    <row r="483" spans="28:30">
      <c r="AB483" s="169">
        <v>193395.111</v>
      </c>
      <c r="AC483" s="169">
        <v>81026.789999999994</v>
      </c>
      <c r="AD483" s="170">
        <v>5890.96</v>
      </c>
    </row>
    <row r="484" spans="28:30">
      <c r="AB484" s="169">
        <v>221022.984</v>
      </c>
      <c r="AC484" s="169">
        <v>81026.789999999994</v>
      </c>
      <c r="AD484" s="170">
        <v>3662.42</v>
      </c>
    </row>
    <row r="485" spans="28:30">
      <c r="AB485" s="169">
        <v>248650.85699999999</v>
      </c>
      <c r="AC485" s="169">
        <v>81026.789999999994</v>
      </c>
      <c r="AD485" s="170">
        <v>3510.58</v>
      </c>
    </row>
    <row r="486" spans="28:30">
      <c r="AB486" s="169">
        <v>276278.73</v>
      </c>
      <c r="AC486" s="169">
        <v>81026.789999999994</v>
      </c>
      <c r="AD486" s="170">
        <v>1379.39</v>
      </c>
    </row>
    <row r="487" spans="28:30">
      <c r="AB487" s="169">
        <v>303906.603</v>
      </c>
      <c r="AC487" s="169">
        <v>81026.789999999994</v>
      </c>
      <c r="AD487" s="170">
        <v>1096.47</v>
      </c>
    </row>
    <row r="488" spans="28:30">
      <c r="AB488" s="169">
        <v>331534.47600000002</v>
      </c>
      <c r="AC488" s="169">
        <v>81026.789999999994</v>
      </c>
      <c r="AD488" s="170">
        <v>1349.72</v>
      </c>
    </row>
    <row r="489" spans="28:30">
      <c r="AB489" s="169">
        <v>359162.34899999999</v>
      </c>
      <c r="AC489" s="169">
        <v>81026.789999999994</v>
      </c>
      <c r="AD489" s="170">
        <v>507.64499999999998</v>
      </c>
    </row>
    <row r="490" spans="28:30">
      <c r="AB490" s="169">
        <v>386790.22200000001</v>
      </c>
      <c r="AC490" s="169">
        <v>81026.789999999994</v>
      </c>
      <c r="AD490" s="170">
        <v>1004.15</v>
      </c>
    </row>
    <row r="491" spans="28:30">
      <c r="AB491" s="169">
        <v>414418.09499999997</v>
      </c>
      <c r="AC491" s="169">
        <v>81026.789999999994</v>
      </c>
      <c r="AD491" s="170">
        <v>132.82</v>
      </c>
    </row>
    <row r="492" spans="28:30">
      <c r="AB492" s="169">
        <v>442045.96799999999</v>
      </c>
      <c r="AC492" s="169">
        <v>81026.789999999994</v>
      </c>
      <c r="AD492" s="170">
        <v>80.635000000000005</v>
      </c>
    </row>
    <row r="493" spans="28:30">
      <c r="AB493" s="169">
        <v>469673.84100000001</v>
      </c>
      <c r="AC493" s="169">
        <v>81026.789999999994</v>
      </c>
      <c r="AD493" s="170">
        <v>115.42</v>
      </c>
    </row>
    <row r="494" spans="28:30">
      <c r="AB494" s="169">
        <v>497301.71399999998</v>
      </c>
      <c r="AC494" s="169">
        <v>81026.789999999994</v>
      </c>
      <c r="AD494" s="170">
        <v>21.414999999999999</v>
      </c>
    </row>
    <row r="495" spans="28:30">
      <c r="AB495" s="169">
        <v>524929.58700000006</v>
      </c>
      <c r="AC495" s="169">
        <v>81026.789999999994</v>
      </c>
      <c r="AD495" s="170">
        <v>28.225000000000001</v>
      </c>
    </row>
    <row r="496" spans="28:30">
      <c r="AB496" s="169">
        <v>552557.46</v>
      </c>
      <c r="AC496" s="169">
        <v>81026.789999999994</v>
      </c>
      <c r="AD496" s="170">
        <v>86.254999999999995</v>
      </c>
    </row>
    <row r="497" spans="28:30">
      <c r="AB497" s="169">
        <v>580185.33299999998</v>
      </c>
      <c r="AC497" s="169">
        <v>81026.789999999994</v>
      </c>
      <c r="AD497" s="170">
        <v>2.9249999999999998</v>
      </c>
    </row>
    <row r="498" spans="28:30">
      <c r="AB498" s="169">
        <v>607813.20600000001</v>
      </c>
      <c r="AC498" s="169">
        <v>81026.789999999994</v>
      </c>
      <c r="AD498" s="170">
        <v>11.775</v>
      </c>
    </row>
    <row r="499" spans="28:30">
      <c r="AB499" s="169">
        <v>635441.07900000003</v>
      </c>
      <c r="AC499" s="169">
        <v>81026.789999999994</v>
      </c>
      <c r="AD499" s="170">
        <v>0.755</v>
      </c>
    </row>
    <row r="500" spans="28:30">
      <c r="AB500" s="169">
        <v>663068.95200000005</v>
      </c>
      <c r="AC500" s="169">
        <v>81026.789999999994</v>
      </c>
      <c r="AD500" s="170">
        <v>1.44</v>
      </c>
    </row>
    <row r="501" spans="28:30">
      <c r="AB501" s="169">
        <v>690696.82499999995</v>
      </c>
      <c r="AC501" s="169">
        <v>81026.789999999994</v>
      </c>
      <c r="AD501" s="170">
        <v>1.86</v>
      </c>
    </row>
    <row r="502" spans="28:30">
      <c r="AB502" s="169">
        <v>718324.69799999997</v>
      </c>
      <c r="AC502" s="169">
        <v>81026.789999999994</v>
      </c>
      <c r="AD502" s="170">
        <v>0.44</v>
      </c>
    </row>
    <row r="503" spans="28:30">
      <c r="AB503" s="169">
        <v>745952.571</v>
      </c>
      <c r="AC503" s="169">
        <v>81026.789999999994</v>
      </c>
      <c r="AD503" s="170">
        <v>3.41</v>
      </c>
    </row>
    <row r="504" spans="28:30">
      <c r="AB504" s="169">
        <v>773580.44400000002</v>
      </c>
      <c r="AC504" s="169">
        <v>81026.789999999994</v>
      </c>
      <c r="AD504" s="170">
        <v>1.38</v>
      </c>
    </row>
    <row r="505" spans="28:30">
      <c r="AB505" s="169">
        <v>801208.31700000004</v>
      </c>
      <c r="AC505" s="169">
        <v>81026.789999999994</v>
      </c>
      <c r="AD505" s="170">
        <v>2.14</v>
      </c>
    </row>
    <row r="506" spans="28:30">
      <c r="AB506" s="169">
        <v>828836.19</v>
      </c>
      <c r="AC506" s="169">
        <v>81026.789999999994</v>
      </c>
      <c r="AD506" s="170">
        <v>1.07</v>
      </c>
    </row>
    <row r="507" spans="28:30">
      <c r="AB507" s="169">
        <v>856464.06299999997</v>
      </c>
      <c r="AC507" s="169">
        <v>81026.789999999994</v>
      </c>
      <c r="AD507" s="170">
        <v>3.21</v>
      </c>
    </row>
    <row r="508" spans="28:30">
      <c r="AB508" s="169">
        <v>884091.93599999999</v>
      </c>
      <c r="AC508" s="169">
        <v>81026.789999999994</v>
      </c>
      <c r="AD508" s="170">
        <v>1.07</v>
      </c>
    </row>
    <row r="509" spans="28:30">
      <c r="AB509" s="169">
        <v>0.1330700007</v>
      </c>
      <c r="AC509" s="169">
        <v>102341.46</v>
      </c>
      <c r="AD509" s="170">
        <v>39606300</v>
      </c>
    </row>
    <row r="510" spans="28:30">
      <c r="AB510" s="169">
        <v>27628.027699999999</v>
      </c>
      <c r="AC510" s="169">
        <v>102341.46</v>
      </c>
      <c r="AD510" s="170">
        <v>3110140</v>
      </c>
    </row>
    <row r="511" spans="28:30">
      <c r="AB511" s="169">
        <v>55255.900699999998</v>
      </c>
      <c r="AC511" s="169">
        <v>102341.46</v>
      </c>
      <c r="AD511" s="170">
        <v>1138610</v>
      </c>
    </row>
    <row r="512" spans="28:30">
      <c r="AB512" s="169">
        <v>82883.619000000006</v>
      </c>
      <c r="AC512" s="169">
        <v>102341.46</v>
      </c>
      <c r="AD512" s="170">
        <v>587218</v>
      </c>
    </row>
    <row r="513" spans="28:30">
      <c r="AB513" s="169">
        <v>110511.492</v>
      </c>
      <c r="AC513" s="169">
        <v>102341.46</v>
      </c>
      <c r="AD513" s="170">
        <v>259036</v>
      </c>
    </row>
    <row r="514" spans="28:30">
      <c r="AB514" s="169">
        <v>138139.36499999999</v>
      </c>
      <c r="AC514" s="169">
        <v>102341.46</v>
      </c>
      <c r="AD514" s="170">
        <v>105367</v>
      </c>
    </row>
    <row r="515" spans="28:30">
      <c r="AB515" s="169">
        <v>165767.23800000001</v>
      </c>
      <c r="AC515" s="169">
        <v>102341.46</v>
      </c>
      <c r="AD515" s="170">
        <v>49278.9</v>
      </c>
    </row>
    <row r="516" spans="28:30">
      <c r="AB516" s="169">
        <v>193395.111</v>
      </c>
      <c r="AC516" s="169">
        <v>102341.46</v>
      </c>
      <c r="AD516" s="170">
        <v>24956.400000000001</v>
      </c>
    </row>
    <row r="517" spans="28:30">
      <c r="AB517" s="169">
        <v>221022.984</v>
      </c>
      <c r="AC517" s="169">
        <v>102341.46</v>
      </c>
      <c r="AD517" s="170">
        <v>12360.3</v>
      </c>
    </row>
    <row r="518" spans="28:30">
      <c r="AB518" s="169">
        <v>248650.85699999999</v>
      </c>
      <c r="AC518" s="169">
        <v>102341.46</v>
      </c>
      <c r="AD518" s="170">
        <v>9518.44</v>
      </c>
    </row>
    <row r="519" spans="28:30">
      <c r="AB519" s="169">
        <v>276278.73</v>
      </c>
      <c r="AC519" s="169">
        <v>102341.46</v>
      </c>
      <c r="AD519" s="170">
        <v>6109.4</v>
      </c>
    </row>
    <row r="520" spans="28:30">
      <c r="AB520" s="169">
        <v>303906.603</v>
      </c>
      <c r="AC520" s="169">
        <v>102341.46</v>
      </c>
      <c r="AD520" s="170">
        <v>4066.89</v>
      </c>
    </row>
    <row r="521" spans="28:30">
      <c r="AB521" s="169">
        <v>331534.47600000002</v>
      </c>
      <c r="AC521" s="169">
        <v>102341.46</v>
      </c>
      <c r="AD521" s="170">
        <v>2951.38</v>
      </c>
    </row>
    <row r="522" spans="28:30">
      <c r="AB522" s="169">
        <v>359162.34899999999</v>
      </c>
      <c r="AC522" s="169">
        <v>102341.46</v>
      </c>
      <c r="AD522" s="170">
        <v>2261.42</v>
      </c>
    </row>
    <row r="523" spans="28:30">
      <c r="AB523" s="169">
        <v>386790.22200000001</v>
      </c>
      <c r="AC523" s="169">
        <v>102341.46</v>
      </c>
      <c r="AD523" s="170">
        <v>956.52</v>
      </c>
    </row>
    <row r="524" spans="28:30">
      <c r="AB524" s="169">
        <v>414418.09499999997</v>
      </c>
      <c r="AC524" s="169">
        <v>102341.46</v>
      </c>
      <c r="AD524" s="170">
        <v>756.04</v>
      </c>
    </row>
    <row r="525" spans="28:30">
      <c r="AB525" s="169">
        <v>442045.96799999999</v>
      </c>
      <c r="AC525" s="169">
        <v>102341.46</v>
      </c>
      <c r="AD525" s="170">
        <v>664.51</v>
      </c>
    </row>
    <row r="526" spans="28:30">
      <c r="AB526" s="169">
        <v>469673.84100000001</v>
      </c>
      <c r="AC526" s="169">
        <v>102341.46</v>
      </c>
      <c r="AD526" s="170">
        <v>308.22500000000002</v>
      </c>
    </row>
    <row r="527" spans="28:30">
      <c r="AB527" s="169">
        <v>497301.71399999998</v>
      </c>
      <c r="AC527" s="169">
        <v>102341.46</v>
      </c>
      <c r="AD527" s="170">
        <v>51.195</v>
      </c>
    </row>
    <row r="528" spans="28:30">
      <c r="AB528" s="169">
        <v>524929.58700000006</v>
      </c>
      <c r="AC528" s="169">
        <v>102341.46</v>
      </c>
      <c r="AD528" s="170">
        <v>257.255</v>
      </c>
    </row>
    <row r="529" spans="28:30">
      <c r="AB529" s="169">
        <v>552557.46</v>
      </c>
      <c r="AC529" s="169">
        <v>102341.46</v>
      </c>
      <c r="AD529" s="170">
        <v>25.465</v>
      </c>
    </row>
    <row r="530" spans="28:30">
      <c r="AB530" s="169">
        <v>580185.33299999998</v>
      </c>
      <c r="AC530" s="169">
        <v>102341.46</v>
      </c>
      <c r="AD530" s="170">
        <v>30.285</v>
      </c>
    </row>
    <row r="531" spans="28:30">
      <c r="AB531" s="169">
        <v>607813.20600000001</v>
      </c>
      <c r="AC531" s="169">
        <v>102341.46</v>
      </c>
      <c r="AD531" s="170">
        <v>34.82</v>
      </c>
    </row>
    <row r="532" spans="28:30">
      <c r="AB532" s="169">
        <v>635441.07900000003</v>
      </c>
      <c r="AC532" s="169">
        <v>102341.46</v>
      </c>
      <c r="AD532" s="170">
        <v>7.22</v>
      </c>
    </row>
    <row r="533" spans="28:30">
      <c r="AB533" s="169">
        <v>663068.95200000005</v>
      </c>
      <c r="AC533" s="169">
        <v>102341.46</v>
      </c>
      <c r="AD533" s="170">
        <v>2.8</v>
      </c>
    </row>
    <row r="534" spans="28:30">
      <c r="AB534" s="169">
        <v>718324.69799999997</v>
      </c>
      <c r="AC534" s="169">
        <v>102341.46</v>
      </c>
      <c r="AD534" s="170">
        <v>0.17</v>
      </c>
    </row>
    <row r="535" spans="28:30">
      <c r="AB535" s="169">
        <v>801208.31700000004</v>
      </c>
      <c r="AC535" s="169">
        <v>102341.46</v>
      </c>
      <c r="AD535" s="170">
        <v>1.07</v>
      </c>
    </row>
    <row r="536" spans="28:30">
      <c r="AB536" s="169">
        <v>856464.06299999997</v>
      </c>
      <c r="AC536" s="169">
        <v>102341.46</v>
      </c>
      <c r="AD536" s="170">
        <v>1.07</v>
      </c>
    </row>
    <row r="537" spans="28:30">
      <c r="AB537" s="169">
        <v>0.1330700007</v>
      </c>
      <c r="AC537" s="169">
        <v>123656.13</v>
      </c>
      <c r="AD537" s="170">
        <v>43920200</v>
      </c>
    </row>
    <row r="538" spans="28:30">
      <c r="AB538" s="169">
        <v>27628.027699999999</v>
      </c>
      <c r="AC538" s="169">
        <v>123656.13</v>
      </c>
      <c r="AD538" s="170">
        <v>3540340</v>
      </c>
    </row>
    <row r="539" spans="28:30">
      <c r="AB539" s="169">
        <v>55255.900699999998</v>
      </c>
      <c r="AC539" s="169">
        <v>123656.13</v>
      </c>
      <c r="AD539" s="170">
        <v>1435530</v>
      </c>
    </row>
    <row r="540" spans="28:30">
      <c r="AB540" s="169">
        <v>82883.619000000006</v>
      </c>
      <c r="AC540" s="169">
        <v>123656.13</v>
      </c>
      <c r="AD540" s="170">
        <v>718693</v>
      </c>
    </row>
    <row r="541" spans="28:30">
      <c r="AB541" s="169">
        <v>110511.492</v>
      </c>
      <c r="AC541" s="169">
        <v>123656.13</v>
      </c>
      <c r="AD541" s="170">
        <v>287127</v>
      </c>
    </row>
    <row r="542" spans="28:30">
      <c r="AB542" s="169">
        <v>138139.36499999999</v>
      </c>
      <c r="AC542" s="169">
        <v>123656.13</v>
      </c>
      <c r="AD542" s="170">
        <v>100975</v>
      </c>
    </row>
    <row r="543" spans="28:30">
      <c r="AB543" s="169">
        <v>165767.23800000001</v>
      </c>
      <c r="AC543" s="169">
        <v>123656.13</v>
      </c>
      <c r="AD543" s="170">
        <v>42129.8</v>
      </c>
    </row>
    <row r="544" spans="28:30">
      <c r="AB544" s="169">
        <v>193395.111</v>
      </c>
      <c r="AC544" s="169">
        <v>123656.13</v>
      </c>
      <c r="AD544" s="170">
        <v>22705.7</v>
      </c>
    </row>
    <row r="545" spans="28:30">
      <c r="AB545" s="169">
        <v>221022.984</v>
      </c>
      <c r="AC545" s="169">
        <v>123656.13</v>
      </c>
      <c r="AD545" s="170">
        <v>10997.1</v>
      </c>
    </row>
    <row r="546" spans="28:30">
      <c r="AB546" s="169">
        <v>248650.85699999999</v>
      </c>
      <c r="AC546" s="169">
        <v>123656.13</v>
      </c>
      <c r="AD546" s="170">
        <v>6777.24</v>
      </c>
    </row>
    <row r="547" spans="28:30">
      <c r="AB547" s="169">
        <v>276278.73</v>
      </c>
      <c r="AC547" s="169">
        <v>123656.13</v>
      </c>
      <c r="AD547" s="170">
        <v>2936.41</v>
      </c>
    </row>
    <row r="548" spans="28:30">
      <c r="AB548" s="169">
        <v>303906.603</v>
      </c>
      <c r="AC548" s="169">
        <v>123656.13</v>
      </c>
      <c r="AD548" s="170">
        <v>1445.37</v>
      </c>
    </row>
    <row r="549" spans="28:30">
      <c r="AB549" s="169">
        <v>331534.47600000002</v>
      </c>
      <c r="AC549" s="169">
        <v>123656.13</v>
      </c>
      <c r="AD549" s="170">
        <v>1531.58</v>
      </c>
    </row>
    <row r="550" spans="28:30">
      <c r="AB550" s="169">
        <v>359162.34899999999</v>
      </c>
      <c r="AC550" s="169">
        <v>123656.13</v>
      </c>
      <c r="AD550" s="170">
        <v>350.52</v>
      </c>
    </row>
    <row r="551" spans="28:30">
      <c r="AB551" s="169">
        <v>386790.22200000001</v>
      </c>
      <c r="AC551" s="169">
        <v>123656.13</v>
      </c>
      <c r="AD551" s="170">
        <v>271.63499999999999</v>
      </c>
    </row>
    <row r="552" spans="28:30">
      <c r="AB552" s="169">
        <v>414418.09499999997</v>
      </c>
      <c r="AC552" s="169">
        <v>123656.13</v>
      </c>
      <c r="AD552" s="170">
        <v>110.2</v>
      </c>
    </row>
    <row r="553" spans="28:30">
      <c r="AB553" s="169">
        <v>442045.96799999999</v>
      </c>
      <c r="AC553" s="169">
        <v>123656.13</v>
      </c>
      <c r="AD553" s="170">
        <v>300.065</v>
      </c>
    </row>
    <row r="554" spans="28:30">
      <c r="AB554" s="169">
        <v>469673.84100000001</v>
      </c>
      <c r="AC554" s="169">
        <v>123656.13</v>
      </c>
      <c r="AD554" s="170">
        <v>350.505</v>
      </c>
    </row>
    <row r="555" spans="28:30">
      <c r="AB555" s="169">
        <v>497301.71399999998</v>
      </c>
      <c r="AC555" s="169">
        <v>123656.13</v>
      </c>
      <c r="AD555" s="170">
        <v>13.965</v>
      </c>
    </row>
    <row r="556" spans="28:30">
      <c r="AB556" s="169">
        <v>524929.58700000006</v>
      </c>
      <c r="AC556" s="169">
        <v>123656.13</v>
      </c>
      <c r="AD556" s="170">
        <v>8.6549999999999994</v>
      </c>
    </row>
    <row r="557" spans="28:30">
      <c r="AB557" s="169">
        <v>552557.46</v>
      </c>
      <c r="AC557" s="169">
        <v>123656.13</v>
      </c>
      <c r="AD557" s="170">
        <v>2.71</v>
      </c>
    </row>
    <row r="558" spans="28:30">
      <c r="AB558" s="169">
        <v>580185.33299999998</v>
      </c>
      <c r="AC558" s="169">
        <v>123656.13</v>
      </c>
      <c r="AD558" s="170">
        <v>6.02</v>
      </c>
    </row>
    <row r="559" spans="28:30">
      <c r="AB559" s="169">
        <v>607813.20600000001</v>
      </c>
      <c r="AC559" s="169">
        <v>123656.13</v>
      </c>
      <c r="AD559" s="170">
        <v>2.0750000000000002</v>
      </c>
    </row>
    <row r="560" spans="28:30">
      <c r="AB560" s="169">
        <v>635441.07900000003</v>
      </c>
      <c r="AC560" s="169">
        <v>123656.13</v>
      </c>
      <c r="AD560" s="170">
        <v>8.3000000000000007</v>
      </c>
    </row>
    <row r="561" spans="28:30">
      <c r="AB561" s="169">
        <v>690696.82499999995</v>
      </c>
      <c r="AC561" s="169">
        <v>123656.13</v>
      </c>
      <c r="AD561" s="170">
        <v>1.07</v>
      </c>
    </row>
    <row r="562" spans="28:30">
      <c r="AB562" s="169">
        <v>0.1330700007</v>
      </c>
      <c r="AC562" s="169">
        <v>144970.79999999999</v>
      </c>
      <c r="AD562" s="170">
        <v>48280800</v>
      </c>
    </row>
    <row r="563" spans="28:30">
      <c r="AB563" s="169">
        <v>27628.027699999999</v>
      </c>
      <c r="AC563" s="169">
        <v>144970.79999999999</v>
      </c>
      <c r="AD563" s="170">
        <v>4397940</v>
      </c>
    </row>
    <row r="564" spans="28:30">
      <c r="AB564" s="169">
        <v>55255.900699999998</v>
      </c>
      <c r="AC564" s="169">
        <v>144970.79999999999</v>
      </c>
      <c r="AD564" s="170">
        <v>1895800</v>
      </c>
    </row>
    <row r="565" spans="28:30">
      <c r="AB565" s="169">
        <v>82883.619000000006</v>
      </c>
      <c r="AC565" s="169">
        <v>144970.79999999999</v>
      </c>
      <c r="AD565" s="170">
        <v>948993</v>
      </c>
    </row>
    <row r="566" spans="28:30">
      <c r="AB566" s="169">
        <v>110511.492</v>
      </c>
      <c r="AC566" s="169">
        <v>144970.79999999999</v>
      </c>
      <c r="AD566" s="170">
        <v>373422</v>
      </c>
    </row>
    <row r="567" spans="28:30">
      <c r="AB567" s="169">
        <v>138139.36499999999</v>
      </c>
      <c r="AC567" s="169">
        <v>144970.79999999999</v>
      </c>
      <c r="AD567" s="170">
        <v>147580</v>
      </c>
    </row>
    <row r="568" spans="28:30">
      <c r="AB568" s="169">
        <v>165767.23800000001</v>
      </c>
      <c r="AC568" s="169">
        <v>144970.79999999999</v>
      </c>
      <c r="AD568" s="170">
        <v>63014.400000000001</v>
      </c>
    </row>
    <row r="569" spans="28:30">
      <c r="AB569" s="169">
        <v>193395.111</v>
      </c>
      <c r="AC569" s="169">
        <v>144970.79999999999</v>
      </c>
      <c r="AD569" s="170">
        <v>26026.799999999999</v>
      </c>
    </row>
    <row r="570" spans="28:30">
      <c r="AB570" s="169">
        <v>221022.984</v>
      </c>
      <c r="AC570" s="169">
        <v>144970.79999999999</v>
      </c>
      <c r="AD570" s="170">
        <v>6263.17</v>
      </c>
    </row>
    <row r="571" spans="28:30">
      <c r="AB571" s="169">
        <v>248650.85699999999</v>
      </c>
      <c r="AC571" s="169">
        <v>144970.79999999999</v>
      </c>
      <c r="AD571" s="170">
        <v>2844.09</v>
      </c>
    </row>
    <row r="572" spans="28:30">
      <c r="AB572" s="169">
        <v>276278.73</v>
      </c>
      <c r="AC572" s="169">
        <v>144970.79999999999</v>
      </c>
      <c r="AD572" s="170">
        <v>1656.4</v>
      </c>
    </row>
    <row r="573" spans="28:30">
      <c r="AB573" s="169">
        <v>303906.603</v>
      </c>
      <c r="AC573" s="169">
        <v>144970.79999999999</v>
      </c>
      <c r="AD573" s="170">
        <v>605.30999999999995</v>
      </c>
    </row>
    <row r="574" spans="28:30">
      <c r="AB574" s="169">
        <v>331534.47600000002</v>
      </c>
      <c r="AC574" s="169">
        <v>144970.79999999999</v>
      </c>
      <c r="AD574" s="170">
        <v>200.08500000000001</v>
      </c>
    </row>
    <row r="575" spans="28:30">
      <c r="AB575" s="169">
        <v>359162.34899999999</v>
      </c>
      <c r="AC575" s="169">
        <v>144970.79999999999</v>
      </c>
      <c r="AD575" s="170">
        <v>97.14</v>
      </c>
    </row>
    <row r="576" spans="28:30">
      <c r="AB576" s="169">
        <v>386790.22200000001</v>
      </c>
      <c r="AC576" s="169">
        <v>144970.79999999999</v>
      </c>
      <c r="AD576" s="170">
        <v>44.82</v>
      </c>
    </row>
    <row r="577" spans="28:30">
      <c r="AB577" s="169">
        <v>414418.09499999997</v>
      </c>
      <c r="AC577" s="169">
        <v>144970.79999999999</v>
      </c>
      <c r="AD577" s="170">
        <v>32.700000000000003</v>
      </c>
    </row>
    <row r="578" spans="28:30">
      <c r="AB578" s="169">
        <v>442045.96799999999</v>
      </c>
      <c r="AC578" s="169">
        <v>144970.79999999999</v>
      </c>
      <c r="AD578" s="170">
        <v>9.7200000000000006</v>
      </c>
    </row>
    <row r="579" spans="28:30">
      <c r="AB579" s="169">
        <v>469673.84100000001</v>
      </c>
      <c r="AC579" s="169">
        <v>144970.79999999999</v>
      </c>
      <c r="AD579" s="170">
        <v>1.655</v>
      </c>
    </row>
    <row r="580" spans="28:30">
      <c r="AB580" s="169">
        <v>524929.58700000006</v>
      </c>
      <c r="AC580" s="169">
        <v>144970.79999999999</v>
      </c>
      <c r="AD580" s="170">
        <v>77.765000000000001</v>
      </c>
    </row>
    <row r="581" spans="28:30">
      <c r="AB581" s="169">
        <v>0.1330700007</v>
      </c>
      <c r="AC581" s="169">
        <v>166285.6</v>
      </c>
      <c r="AD581" s="170">
        <v>46684300</v>
      </c>
    </row>
    <row r="582" spans="28:30">
      <c r="AB582" s="169">
        <v>27628.027699999999</v>
      </c>
      <c r="AC582" s="169">
        <v>166285.6</v>
      </c>
      <c r="AD582" s="170">
        <v>3618830</v>
      </c>
    </row>
    <row r="583" spans="28:30">
      <c r="AB583" s="169">
        <v>55255.900699999998</v>
      </c>
      <c r="AC583" s="169">
        <v>166285.6</v>
      </c>
      <c r="AD583" s="170">
        <v>1981210</v>
      </c>
    </row>
    <row r="584" spans="28:30">
      <c r="AB584" s="169">
        <v>82883.619000000006</v>
      </c>
      <c r="AC584" s="169">
        <v>166285.6</v>
      </c>
      <c r="AD584" s="170">
        <v>983771</v>
      </c>
    </row>
    <row r="585" spans="28:30">
      <c r="AB585" s="169">
        <v>110511.492</v>
      </c>
      <c r="AC585" s="169">
        <v>166285.6</v>
      </c>
      <c r="AD585" s="170">
        <v>356303</v>
      </c>
    </row>
    <row r="586" spans="28:30">
      <c r="AB586" s="169">
        <v>138139.36499999999</v>
      </c>
      <c r="AC586" s="169">
        <v>166285.6</v>
      </c>
      <c r="AD586" s="170">
        <v>131990</v>
      </c>
    </row>
    <row r="587" spans="28:30">
      <c r="AB587" s="169">
        <v>165767.23800000001</v>
      </c>
      <c r="AC587" s="169">
        <v>166285.6</v>
      </c>
      <c r="AD587" s="170">
        <v>45092.5</v>
      </c>
    </row>
    <row r="588" spans="28:30">
      <c r="AB588" s="169">
        <v>193395.111</v>
      </c>
      <c r="AC588" s="169">
        <v>166285.6</v>
      </c>
      <c r="AD588" s="170">
        <v>12867.3</v>
      </c>
    </row>
    <row r="589" spans="28:30">
      <c r="AB589" s="169">
        <v>221022.984</v>
      </c>
      <c r="AC589" s="169">
        <v>166285.6</v>
      </c>
      <c r="AD589" s="170">
        <v>3075.67</v>
      </c>
    </row>
    <row r="590" spans="28:30">
      <c r="AB590" s="169">
        <v>248650.85699999999</v>
      </c>
      <c r="AC590" s="169">
        <v>166285.6</v>
      </c>
      <c r="AD590" s="170">
        <v>699.17</v>
      </c>
    </row>
    <row r="591" spans="28:30">
      <c r="AB591" s="169">
        <v>276278.73</v>
      </c>
      <c r="AC591" s="169">
        <v>166285.6</v>
      </c>
      <c r="AD591" s="170">
        <v>364.58499999999998</v>
      </c>
    </row>
    <row r="592" spans="28:30">
      <c r="AB592" s="169">
        <v>303906.603</v>
      </c>
      <c r="AC592" s="169">
        <v>166285.6</v>
      </c>
      <c r="AD592" s="170">
        <v>159.20500000000001</v>
      </c>
    </row>
    <row r="593" spans="28:30">
      <c r="AB593" s="169">
        <v>331534.47600000002</v>
      </c>
      <c r="AC593" s="169">
        <v>166285.6</v>
      </c>
      <c r="AD593" s="170">
        <v>151.79</v>
      </c>
    </row>
    <row r="594" spans="28:30">
      <c r="AB594" s="169">
        <v>359162.34899999999</v>
      </c>
      <c r="AC594" s="169">
        <v>166285.6</v>
      </c>
      <c r="AD594" s="170">
        <v>76.58</v>
      </c>
    </row>
    <row r="595" spans="28:30">
      <c r="AB595" s="169">
        <v>386790.22200000001</v>
      </c>
      <c r="AC595" s="169">
        <v>166285.6</v>
      </c>
      <c r="AD595" s="170">
        <v>35.645000000000003</v>
      </c>
    </row>
    <row r="596" spans="28:30">
      <c r="AB596" s="169">
        <v>0.1330700007</v>
      </c>
      <c r="AC596" s="169">
        <v>187600.4</v>
      </c>
      <c r="AD596" s="170">
        <v>43783600</v>
      </c>
    </row>
    <row r="597" spans="28:30">
      <c r="AB597" s="169">
        <v>27628.027699999999</v>
      </c>
      <c r="AC597" s="169">
        <v>187600.4</v>
      </c>
      <c r="AD597" s="170">
        <v>3339240</v>
      </c>
    </row>
    <row r="598" spans="28:30">
      <c r="AB598" s="169">
        <v>55255.900699999998</v>
      </c>
      <c r="AC598" s="169">
        <v>187600.4</v>
      </c>
      <c r="AD598" s="170">
        <v>1797130</v>
      </c>
    </row>
    <row r="599" spans="28:30">
      <c r="AB599" s="169">
        <v>82883.619000000006</v>
      </c>
      <c r="AC599" s="169">
        <v>187600.4</v>
      </c>
      <c r="AD599" s="170">
        <v>745734</v>
      </c>
    </row>
    <row r="600" spans="28:30">
      <c r="AB600" s="169">
        <v>110511.492</v>
      </c>
      <c r="AC600" s="169">
        <v>187600.4</v>
      </c>
      <c r="AD600" s="170">
        <v>267329</v>
      </c>
    </row>
    <row r="601" spans="28:30">
      <c r="AB601" s="169">
        <v>138139.36499999999</v>
      </c>
      <c r="AC601" s="169">
        <v>187600.4</v>
      </c>
      <c r="AD601" s="170">
        <v>81840.3</v>
      </c>
    </row>
    <row r="602" spans="28:30">
      <c r="AB602" s="169">
        <v>165767.23800000001</v>
      </c>
      <c r="AC602" s="169">
        <v>187600.4</v>
      </c>
      <c r="AD602" s="170">
        <v>29969.9</v>
      </c>
    </row>
    <row r="603" spans="28:30">
      <c r="AB603" s="169">
        <v>193395.111</v>
      </c>
      <c r="AC603" s="169">
        <v>187600.4</v>
      </c>
      <c r="AD603" s="170">
        <v>7263.94</v>
      </c>
    </row>
    <row r="604" spans="28:30">
      <c r="AB604" s="169">
        <v>221022.984</v>
      </c>
      <c r="AC604" s="169">
        <v>187600.4</v>
      </c>
      <c r="AD604" s="170">
        <v>6742.18</v>
      </c>
    </row>
    <row r="605" spans="28:30">
      <c r="AB605" s="169">
        <v>248650.85699999999</v>
      </c>
      <c r="AC605" s="169">
        <v>187600.4</v>
      </c>
      <c r="AD605" s="170">
        <v>619.05999999999995</v>
      </c>
    </row>
    <row r="606" spans="28:30">
      <c r="AB606" s="169">
        <v>276278.73</v>
      </c>
      <c r="AC606" s="169">
        <v>187600.4</v>
      </c>
      <c r="AD606" s="170">
        <v>245.67500000000001</v>
      </c>
    </row>
    <row r="607" spans="28:30">
      <c r="AB607" s="169">
        <v>303906.603</v>
      </c>
      <c r="AC607" s="169">
        <v>187600.4</v>
      </c>
      <c r="AD607" s="170">
        <v>86.844999999999999</v>
      </c>
    </row>
    <row r="608" spans="28:30">
      <c r="AB608" s="169">
        <v>331534.47600000002</v>
      </c>
      <c r="AC608" s="169">
        <v>187600.4</v>
      </c>
      <c r="AD608" s="170">
        <v>132.245</v>
      </c>
    </row>
    <row r="609" spans="28:30">
      <c r="AB609" s="169">
        <v>359162.34899999999</v>
      </c>
      <c r="AC609" s="169">
        <v>187600.4</v>
      </c>
      <c r="AD609" s="170">
        <v>35.11</v>
      </c>
    </row>
    <row r="610" spans="28:30">
      <c r="AB610" s="169">
        <v>386790.22200000001</v>
      </c>
      <c r="AC610" s="169">
        <v>187600.4</v>
      </c>
      <c r="AD610" s="170">
        <v>14.76</v>
      </c>
    </row>
    <row r="611" spans="28:30">
      <c r="AB611" s="169">
        <v>0.1330700007</v>
      </c>
      <c r="AC611" s="169">
        <v>208915.20000000001</v>
      </c>
      <c r="AD611" s="170">
        <v>40627800</v>
      </c>
    </row>
    <row r="612" spans="28:30">
      <c r="AB612" s="169">
        <v>27628.027699999999</v>
      </c>
      <c r="AC612" s="169">
        <v>208915.20000000001</v>
      </c>
      <c r="AD612" s="170">
        <v>2840930</v>
      </c>
    </row>
    <row r="613" spans="28:30">
      <c r="AB613" s="169">
        <v>55255.900699999998</v>
      </c>
      <c r="AC613" s="169">
        <v>208915.20000000001</v>
      </c>
      <c r="AD613" s="170">
        <v>1427730</v>
      </c>
    </row>
    <row r="614" spans="28:30">
      <c r="AB614" s="169">
        <v>82883.619000000006</v>
      </c>
      <c r="AC614" s="169">
        <v>208915.20000000001</v>
      </c>
      <c r="AD614" s="170">
        <v>468761</v>
      </c>
    </row>
    <row r="615" spans="28:30">
      <c r="AB615" s="169">
        <v>110511.492</v>
      </c>
      <c r="AC615" s="169">
        <v>208915.20000000001</v>
      </c>
      <c r="AD615" s="170">
        <v>149281</v>
      </c>
    </row>
    <row r="616" spans="28:30">
      <c r="AB616" s="169">
        <v>138139.36499999999</v>
      </c>
      <c r="AC616" s="169">
        <v>208915.20000000001</v>
      </c>
      <c r="AD616" s="170">
        <v>64316.1</v>
      </c>
    </row>
    <row r="617" spans="28:30">
      <c r="AB617" s="169">
        <v>165767.23800000001</v>
      </c>
      <c r="AC617" s="169">
        <v>208915.20000000001</v>
      </c>
      <c r="AD617" s="170">
        <v>22960.3</v>
      </c>
    </row>
    <row r="618" spans="28:30">
      <c r="AB618" s="169">
        <v>193395.111</v>
      </c>
      <c r="AC618" s="169">
        <v>208915.20000000001</v>
      </c>
      <c r="AD618" s="170">
        <v>10539.9</v>
      </c>
    </row>
    <row r="619" spans="28:30">
      <c r="AB619" s="169">
        <v>221022.984</v>
      </c>
      <c r="AC619" s="169">
        <v>208915.20000000001</v>
      </c>
      <c r="AD619" s="170">
        <v>2110.14</v>
      </c>
    </row>
    <row r="620" spans="28:30">
      <c r="AB620" s="169">
        <v>248650.85699999999</v>
      </c>
      <c r="AC620" s="169">
        <v>208915.20000000001</v>
      </c>
      <c r="AD620" s="170">
        <v>1275.6199999999999</v>
      </c>
    </row>
    <row r="621" spans="28:30">
      <c r="AB621" s="169">
        <v>276278.73</v>
      </c>
      <c r="AC621" s="169">
        <v>208915.20000000001</v>
      </c>
      <c r="AD621" s="170">
        <v>91.944999999999993</v>
      </c>
    </row>
    <row r="622" spans="28:30">
      <c r="AB622" s="169">
        <v>303906.603</v>
      </c>
      <c r="AC622" s="169">
        <v>208915.20000000001</v>
      </c>
      <c r="AD622" s="170">
        <v>33.99</v>
      </c>
    </row>
    <row r="623" spans="28:30">
      <c r="AB623" s="169">
        <v>331534.47600000002</v>
      </c>
      <c r="AC623" s="169">
        <v>208915.20000000001</v>
      </c>
      <c r="AD623" s="170">
        <v>2.355</v>
      </c>
    </row>
    <row r="624" spans="28:30">
      <c r="AB624" s="169">
        <v>359162.34899999999</v>
      </c>
      <c r="AC624" s="169">
        <v>208915.20000000001</v>
      </c>
      <c r="AD624" s="170">
        <v>12.09</v>
      </c>
    </row>
    <row r="625" spans="28:30">
      <c r="AB625" s="169">
        <v>386790.22200000001</v>
      </c>
      <c r="AC625" s="169">
        <v>208915.20000000001</v>
      </c>
      <c r="AD625" s="170">
        <v>7.98</v>
      </c>
    </row>
    <row r="626" spans="28:30">
      <c r="AB626" s="169">
        <v>414418.09499999997</v>
      </c>
      <c r="AC626" s="169">
        <v>208915.20000000001</v>
      </c>
      <c r="AD626" s="170">
        <v>0.91500000000000004</v>
      </c>
    </row>
    <row r="627" spans="28:30">
      <c r="AB627" s="169">
        <v>0.1330700007</v>
      </c>
      <c r="AC627" s="169">
        <v>230230</v>
      </c>
      <c r="AD627" s="170">
        <v>35777400</v>
      </c>
    </row>
    <row r="628" spans="28:30">
      <c r="AB628" s="169">
        <v>27628.027699999999</v>
      </c>
      <c r="AC628" s="169">
        <v>230230</v>
      </c>
      <c r="AD628" s="170">
        <v>2722360</v>
      </c>
    </row>
    <row r="629" spans="28:30">
      <c r="AB629" s="169">
        <v>55255.900699999998</v>
      </c>
      <c r="AC629" s="169">
        <v>230230</v>
      </c>
      <c r="AD629" s="170">
        <v>1097220</v>
      </c>
    </row>
    <row r="630" spans="28:30">
      <c r="AB630" s="169">
        <v>82883.619000000006</v>
      </c>
      <c r="AC630" s="169">
        <v>230230</v>
      </c>
      <c r="AD630" s="170">
        <v>308720</v>
      </c>
    </row>
    <row r="631" spans="28:30">
      <c r="AB631" s="169">
        <v>110511.492</v>
      </c>
      <c r="AC631" s="169">
        <v>230230</v>
      </c>
      <c r="AD631" s="170">
        <v>94976.7</v>
      </c>
    </row>
    <row r="632" spans="28:30">
      <c r="AB632" s="169">
        <v>138139.36499999999</v>
      </c>
      <c r="AC632" s="169">
        <v>230230</v>
      </c>
      <c r="AD632" s="170">
        <v>62864.800000000003</v>
      </c>
    </row>
    <row r="633" spans="28:30">
      <c r="AB633" s="169">
        <v>165767.23800000001</v>
      </c>
      <c r="AC633" s="169">
        <v>230230</v>
      </c>
      <c r="AD633" s="170">
        <v>29051.5</v>
      </c>
    </row>
    <row r="634" spans="28:30">
      <c r="AB634" s="169">
        <v>193395.111</v>
      </c>
      <c r="AC634" s="169">
        <v>230230</v>
      </c>
      <c r="AD634" s="170">
        <v>17863.7</v>
      </c>
    </row>
    <row r="635" spans="28:30">
      <c r="AB635" s="169">
        <v>221022.984</v>
      </c>
      <c r="AC635" s="169">
        <v>230230</v>
      </c>
      <c r="AD635" s="170">
        <v>2412.96</v>
      </c>
    </row>
    <row r="636" spans="28:30">
      <c r="AB636" s="169">
        <v>248650.85699999999</v>
      </c>
      <c r="AC636" s="169">
        <v>230230</v>
      </c>
      <c r="AD636" s="170">
        <v>44.48</v>
      </c>
    </row>
    <row r="637" spans="28:30">
      <c r="AB637" s="169">
        <v>276278.73</v>
      </c>
      <c r="AC637" s="169">
        <v>230230</v>
      </c>
      <c r="AD637" s="170">
        <v>83.26</v>
      </c>
    </row>
    <row r="638" spans="28:30">
      <c r="AB638" s="169">
        <v>0.1330700007</v>
      </c>
      <c r="AC638" s="169">
        <v>251543.5</v>
      </c>
      <c r="AD638" s="170">
        <v>40055300</v>
      </c>
    </row>
    <row r="639" spans="28:30">
      <c r="AB639" s="169">
        <v>27628.027699999999</v>
      </c>
      <c r="AC639" s="169">
        <v>251543.5</v>
      </c>
      <c r="AD639" s="170">
        <v>2986570</v>
      </c>
    </row>
    <row r="640" spans="28:30">
      <c r="AB640" s="169">
        <v>55255.900699999998</v>
      </c>
      <c r="AC640" s="169">
        <v>251543.5</v>
      </c>
      <c r="AD640" s="170">
        <v>1322270</v>
      </c>
    </row>
    <row r="641" spans="28:30">
      <c r="AB641" s="169">
        <v>82883.619000000006</v>
      </c>
      <c r="AC641" s="169">
        <v>251543.5</v>
      </c>
      <c r="AD641" s="170">
        <v>338932</v>
      </c>
    </row>
    <row r="642" spans="28:30">
      <c r="AB642" s="169">
        <v>110511.492</v>
      </c>
      <c r="AC642" s="169">
        <v>251543.5</v>
      </c>
      <c r="AD642" s="170">
        <v>102627</v>
      </c>
    </row>
    <row r="643" spans="28:30">
      <c r="AB643" s="169">
        <v>138139.36499999999</v>
      </c>
      <c r="AC643" s="169">
        <v>251543.5</v>
      </c>
      <c r="AD643" s="170">
        <v>64023</v>
      </c>
    </row>
    <row r="644" spans="28:30">
      <c r="AB644" s="169">
        <v>165767.23800000001</v>
      </c>
      <c r="AC644" s="169">
        <v>251543.5</v>
      </c>
      <c r="AD644" s="170">
        <v>21693.8</v>
      </c>
    </row>
    <row r="645" spans="28:30">
      <c r="AB645" s="169">
        <v>193395.111</v>
      </c>
      <c r="AC645" s="169">
        <v>251543.5</v>
      </c>
      <c r="AD645" s="170">
        <v>14335.1</v>
      </c>
    </row>
    <row r="646" spans="28:30">
      <c r="AB646" s="169">
        <v>221022.984</v>
      </c>
      <c r="AC646" s="169">
        <v>251543.5</v>
      </c>
      <c r="AD646" s="170">
        <v>3870.37</v>
      </c>
    </row>
    <row r="647" spans="28:30">
      <c r="AB647" s="169">
        <v>248650.85699999999</v>
      </c>
      <c r="AC647" s="169">
        <v>251543.5</v>
      </c>
      <c r="AD647" s="170">
        <v>188.92</v>
      </c>
    </row>
    <row r="648" spans="28:30">
      <c r="AB648" s="169">
        <v>276278.73</v>
      </c>
      <c r="AC648" s="169">
        <v>251543.5</v>
      </c>
      <c r="AD648" s="170">
        <v>34.005000000000003</v>
      </c>
    </row>
    <row r="649" spans="28:30">
      <c r="AB649" s="169">
        <v>0.1330700007</v>
      </c>
      <c r="AC649" s="169">
        <v>272858.3</v>
      </c>
      <c r="AD649" s="170">
        <v>35465200</v>
      </c>
    </row>
    <row r="650" spans="28:30">
      <c r="AB650" s="169">
        <v>27628.027699999999</v>
      </c>
      <c r="AC650" s="169">
        <v>272858.3</v>
      </c>
      <c r="AD650" s="170">
        <v>2800300</v>
      </c>
    </row>
    <row r="651" spans="28:30">
      <c r="AB651" s="169">
        <v>55255.900699999998</v>
      </c>
      <c r="AC651" s="169">
        <v>272858.3</v>
      </c>
      <c r="AD651" s="170">
        <v>1360230</v>
      </c>
    </row>
    <row r="652" spans="28:30">
      <c r="AB652" s="169">
        <v>82883.619000000006</v>
      </c>
      <c r="AC652" s="169">
        <v>272858.3</v>
      </c>
      <c r="AD652" s="170">
        <v>307601</v>
      </c>
    </row>
    <row r="653" spans="28:30">
      <c r="AB653" s="169">
        <v>110511.492</v>
      </c>
      <c r="AC653" s="169">
        <v>272858.3</v>
      </c>
      <c r="AD653" s="170">
        <v>60947.8</v>
      </c>
    </row>
    <row r="654" spans="28:30">
      <c r="AB654" s="169">
        <v>138139.36499999999</v>
      </c>
      <c r="AC654" s="169">
        <v>272858.3</v>
      </c>
      <c r="AD654" s="170">
        <v>39878.9</v>
      </c>
    </row>
    <row r="655" spans="28:30">
      <c r="AB655" s="169">
        <v>165767.23800000001</v>
      </c>
      <c r="AC655" s="169">
        <v>272858.3</v>
      </c>
      <c r="AD655" s="170">
        <v>21098.400000000001</v>
      </c>
    </row>
    <row r="656" spans="28:30">
      <c r="AB656" s="169">
        <v>193395.111</v>
      </c>
      <c r="AC656" s="169">
        <v>272858.3</v>
      </c>
      <c r="AD656" s="170">
        <v>4778.6899999999996</v>
      </c>
    </row>
    <row r="657" spans="28:30">
      <c r="AB657" s="169">
        <v>221022.984</v>
      </c>
      <c r="AC657" s="169">
        <v>272858.3</v>
      </c>
      <c r="AD657" s="170">
        <v>383.435</v>
      </c>
    </row>
    <row r="658" spans="28:30">
      <c r="AB658" s="169">
        <v>248650.85699999999</v>
      </c>
      <c r="AC658" s="169">
        <v>272858.3</v>
      </c>
      <c r="AD658" s="170">
        <v>25.88</v>
      </c>
    </row>
    <row r="659" spans="28:30">
      <c r="AB659" s="169">
        <v>276278.73</v>
      </c>
      <c r="AC659" s="169">
        <v>272858.3</v>
      </c>
      <c r="AD659" s="170">
        <v>0.88500000000000001</v>
      </c>
    </row>
    <row r="660" spans="28:30">
      <c r="AB660" s="169">
        <v>0.1330700007</v>
      </c>
      <c r="AC660" s="169">
        <v>294173.09999999998</v>
      </c>
      <c r="AD660" s="170">
        <v>24300700</v>
      </c>
    </row>
    <row r="661" spans="28:30">
      <c r="AB661" s="169">
        <v>27628.027699999999</v>
      </c>
      <c r="AC661" s="169">
        <v>294173.09999999998</v>
      </c>
      <c r="AD661" s="170">
        <v>2100900</v>
      </c>
    </row>
    <row r="662" spans="28:30">
      <c r="AB662" s="169">
        <v>55255.900699999998</v>
      </c>
      <c r="AC662" s="169">
        <v>294173.09999999998</v>
      </c>
      <c r="AD662" s="170">
        <v>811211</v>
      </c>
    </row>
    <row r="663" spans="28:30">
      <c r="AB663" s="169">
        <v>82883.619000000006</v>
      </c>
      <c r="AC663" s="169">
        <v>294173.09999999998</v>
      </c>
      <c r="AD663" s="170">
        <v>163029</v>
      </c>
    </row>
    <row r="664" spans="28:30">
      <c r="AB664" s="169">
        <v>110511.492</v>
      </c>
      <c r="AC664" s="169">
        <v>294173.09999999998</v>
      </c>
      <c r="AD664" s="170">
        <v>37947.599999999999</v>
      </c>
    </row>
    <row r="665" spans="28:30">
      <c r="AB665" s="169">
        <v>138139.36499999999</v>
      </c>
      <c r="AC665" s="169">
        <v>294173.09999999998</v>
      </c>
      <c r="AD665" s="170">
        <v>10170.799999999999</v>
      </c>
    </row>
    <row r="666" spans="28:30">
      <c r="AB666" s="169">
        <v>165767.23800000001</v>
      </c>
      <c r="AC666" s="169">
        <v>294173.09999999998</v>
      </c>
      <c r="AD666" s="170">
        <v>1811.69</v>
      </c>
    </row>
    <row r="667" spans="28:30">
      <c r="AB667" s="169">
        <v>193395.111</v>
      </c>
      <c r="AC667" s="169">
        <v>294173.09999999998</v>
      </c>
      <c r="AD667" s="170">
        <v>33.475000000000001</v>
      </c>
    </row>
    <row r="668" spans="28:30">
      <c r="AB668" s="169">
        <v>221022.984</v>
      </c>
      <c r="AC668" s="169">
        <v>294173.09999999998</v>
      </c>
      <c r="AD668" s="170">
        <v>2.9649999999999999</v>
      </c>
    </row>
    <row r="669" spans="28:30">
      <c r="AB669" s="169">
        <v>248650.85699999999</v>
      </c>
      <c r="AC669" s="169">
        <v>294173.09999999998</v>
      </c>
      <c r="AD669" s="170">
        <v>3.7</v>
      </c>
    </row>
    <row r="670" spans="28:30">
      <c r="AB670" s="169">
        <v>0.1330700007</v>
      </c>
      <c r="AC670" s="169">
        <v>315487.90000000002</v>
      </c>
      <c r="AD670" s="170">
        <v>9542830</v>
      </c>
    </row>
    <row r="671" spans="28:30">
      <c r="AB671" s="169">
        <v>27628.027699999999</v>
      </c>
      <c r="AC671" s="169">
        <v>315487.90000000002</v>
      </c>
      <c r="AD671" s="170">
        <v>686830</v>
      </c>
    </row>
    <row r="672" spans="28:30">
      <c r="AB672" s="169">
        <v>55255.900699999998</v>
      </c>
      <c r="AC672" s="169">
        <v>315487.90000000002</v>
      </c>
      <c r="AD672" s="170">
        <v>201361</v>
      </c>
    </row>
    <row r="673" spans="28:30">
      <c r="AB673" s="169">
        <v>82883.619000000006</v>
      </c>
      <c r="AC673" s="169">
        <v>315487.90000000002</v>
      </c>
      <c r="AD673" s="170">
        <v>18592</v>
      </c>
    </row>
    <row r="674" spans="28:30">
      <c r="AB674" s="169">
        <v>110511.492</v>
      </c>
      <c r="AC674" s="169">
        <v>315487.90000000002</v>
      </c>
      <c r="AD674" s="170">
        <v>2353.5</v>
      </c>
    </row>
    <row r="675" spans="28:30">
      <c r="AB675" s="169">
        <v>138139.36499999999</v>
      </c>
      <c r="AC675" s="169">
        <v>315487.90000000002</v>
      </c>
      <c r="AD675" s="170">
        <v>27.72</v>
      </c>
    </row>
    <row r="676" spans="28:30">
      <c r="AB676" s="169">
        <v>165767.23800000001</v>
      </c>
      <c r="AC676" s="169">
        <v>315487.90000000002</v>
      </c>
      <c r="AD676" s="170">
        <v>0.73499999999999999</v>
      </c>
    </row>
    <row r="677" spans="28:30">
      <c r="AB677" s="169">
        <v>193395.111</v>
      </c>
      <c r="AC677" s="169">
        <v>315487.90000000002</v>
      </c>
      <c r="AD677" s="170">
        <v>0.73499999999999999</v>
      </c>
    </row>
    <row r="678" spans="28:30">
      <c r="AB678" s="169">
        <v>0.1330700007</v>
      </c>
      <c r="AC678" s="169">
        <v>336802.7</v>
      </c>
      <c r="AD678" s="170">
        <v>643371</v>
      </c>
    </row>
    <row r="679" spans="28:30">
      <c r="AB679" s="169">
        <v>27628.027699999999</v>
      </c>
      <c r="AC679" s="169">
        <v>336802.7</v>
      </c>
      <c r="AD679" s="170">
        <v>2587.0500000000002</v>
      </c>
    </row>
    <row r="680" spans="28:30">
      <c r="AB680" s="169">
        <v>82883.619000000006</v>
      </c>
      <c r="AC680" s="169">
        <v>336802.7</v>
      </c>
      <c r="AD680" s="170">
        <v>3.5550000000000002</v>
      </c>
    </row>
    <row r="681" spans="28:30">
      <c r="AB681" s="169">
        <v>0.1330700007</v>
      </c>
      <c r="AC681" s="169">
        <v>358117.5</v>
      </c>
      <c r="AD681" s="170">
        <v>616.04</v>
      </c>
    </row>
    <row r="682" spans="28:30">
      <c r="AB682" s="169">
        <v>0.1330700007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5">
    <cfRule type="cellIs" dxfId="9" priority="19" operator="notBetween">
      <formula>-0.001</formula>
      <formula>0.001</formula>
    </cfRule>
  </conditionalFormatting>
  <conditionalFormatting sqref="G87:G93">
    <cfRule type="cellIs" dxfId="8" priority="7" operator="notBetween">
      <formula>-0.001</formula>
      <formula>0.001</formula>
    </cfRule>
  </conditionalFormatting>
  <conditionalFormatting sqref="G95:G96">
    <cfRule type="cellIs" dxfId="7" priority="17" operator="notBetween">
      <formula>-0.001</formula>
      <formula>0.001</formula>
    </cfRule>
  </conditionalFormatting>
  <conditionalFormatting sqref="G98:G102">
    <cfRule type="cellIs" dxfId="6" priority="16" operator="notBetween">
      <formula>-0.001</formula>
      <formula>0.001</formula>
    </cfRule>
  </conditionalFormatting>
  <conditionalFormatting sqref="G105">
    <cfRule type="cellIs" dxfId="5" priority="15" operator="notBetween">
      <formula>-0.001</formula>
      <formula>0.001</formula>
    </cfRule>
  </conditionalFormatting>
  <conditionalFormatting sqref="G107:G109">
    <cfRule type="cellIs" dxfId="4" priority="14" operator="notBetween">
      <formula>-0.001</formula>
      <formula>0.001</formula>
    </cfRule>
  </conditionalFormatting>
  <conditionalFormatting sqref="G111">
    <cfRule type="cellIs" dxfId="3" priority="3" operator="notBetween">
      <formula>-0.001</formula>
      <formula>0.001</formula>
    </cfRule>
  </conditionalFormatting>
  <conditionalFormatting sqref="G113:G114">
    <cfRule type="cellIs" dxfId="2" priority="13" operator="notBetween">
      <formula>-0.001</formula>
      <formula>0.001</formula>
    </cfRule>
  </conditionalFormatting>
  <conditionalFormatting sqref="G118:G134">
    <cfRule type="cellIs" dxfId="1" priority="4" operator="notBetween">
      <formula>-0.001</formula>
      <formula>0.001</formula>
    </cfRule>
  </conditionalFormatting>
  <conditionalFormatting sqref="G136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379</vt:i4>
      </vt:variant>
    </vt:vector>
  </HeadingPairs>
  <TitlesOfParts>
    <vt:vector size="384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Gap120deg!ftot</vt:lpstr>
      <vt:lpstr>Gap30deg!ftot</vt:lpstr>
      <vt:lpstr>Gap60deg!ftot</vt:lpstr>
      <vt:lpstr>Gap90deg!ftot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2024-11-05T07:52:06Z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