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MyTools\pyflange\version_0_6\validations\flangesegments.PolynominalTFlangeSegment\"/>
    </mc:Choice>
  </mc:AlternateContent>
  <xr:revisionPtr revIDLastSave="0" documentId="13_ncr:1_{5F1EF3AD-4CED-4D17-9369-DB65ABD28CD2}" xr6:coauthVersionLast="47" xr6:coauthVersionMax="47" xr10:uidLastSave="{00000000-0000-0000-0000-000000000000}"/>
  <bookViews>
    <workbookView xWindow="-108" yWindow="-108" windowWidth="23256" windowHeight="12576" firstSheet="2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ftot" localSheetId="3">Gap120deg!$J$177</definedName>
    <definedName name="ftot" localSheetId="0">Gap30deg!$J$177</definedName>
    <definedName name="ftot" localSheetId="1">Gap60deg!$J$177</definedName>
    <definedName name="ftot" localSheetId="2">Gap90deg!$J$177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" i="16" l="1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K102" i="16" l="1"/>
  <c r="K103" i="16" s="1"/>
  <c r="K105" i="16" s="1"/>
  <c r="K106" i="16" s="1"/>
  <c r="K107" i="16" s="1"/>
  <c r="K108" i="16" s="1"/>
  <c r="K109" i="16" s="1"/>
  <c r="K110" i="16" s="1"/>
  <c r="K111" i="16" s="1"/>
  <c r="K112" i="16" s="1"/>
  <c r="K113" i="16" s="1"/>
  <c r="K115" i="16" s="1"/>
  <c r="K116" i="16" s="1"/>
  <c r="K117" i="16" s="1"/>
  <c r="K118" i="16" s="1"/>
  <c r="K120" i="16" s="1"/>
  <c r="K27" i="16"/>
  <c r="K28" i="16" s="1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6" i="16" s="1"/>
  <c r="K89" i="16" s="1"/>
  <c r="K90" i="16" s="1"/>
  <c r="K91" i="16" s="1"/>
  <c r="K92" i="16" s="1"/>
  <c r="K94" i="16" s="1"/>
  <c r="K95" i="16" s="1"/>
  <c r="K96" i="16" s="1"/>
  <c r="K97" i="16" s="1"/>
  <c r="K98" i="16" s="1"/>
  <c r="K100" i="16" s="1"/>
  <c r="G23" i="16" l="1"/>
  <c r="G22" i="16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6" i="16" s="1"/>
  <c r="B89" i="16" s="1"/>
  <c r="B90" i="16" s="1"/>
  <c r="B91" i="16" s="1"/>
  <c r="B92" i="16" s="1"/>
  <c r="B94" i="16" s="1"/>
  <c r="B95" i="16" s="1"/>
  <c r="B96" i="16" s="1"/>
  <c r="B97" i="16" s="1"/>
  <c r="B98" i="16" s="1"/>
  <c r="B100" i="16" s="1"/>
  <c r="B101" i="16" s="1"/>
  <c r="B102" i="16" s="1"/>
  <c r="B103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5" i="16" s="1"/>
  <c r="B116" i="16" s="1"/>
  <c r="B117" i="16" s="1"/>
  <c r="B118" i="16" s="1"/>
  <c r="B120" i="16" s="1"/>
  <c r="F49" i="16" a="1"/>
  <c r="F88" i="16" a="1"/>
  <c r="F131" i="16" a="1"/>
  <c r="F105" i="16" a="1"/>
  <c r="F125" i="16" a="1"/>
  <c r="F84" i="16" a="1"/>
  <c r="F53" i="16" a="1"/>
  <c r="F83" i="16" a="1"/>
  <c r="F29" i="16" a="1"/>
  <c r="F134" i="16" a="1"/>
  <c r="F68" i="16" a="1"/>
  <c r="F38" i="16" a="1"/>
  <c r="F130" i="16" a="1"/>
  <c r="F50" i="16" a="1"/>
  <c r="F30" i="16" a="1"/>
  <c r="F119" i="16" a="1"/>
  <c r="F36" i="16" a="1"/>
  <c r="F98" i="16" a="1"/>
  <c r="F51" i="16" a="1"/>
  <c r="F79" i="16" a="1"/>
  <c r="F94" i="16" a="1"/>
  <c r="F61" i="16" a="1"/>
  <c r="F87" i="16" a="1"/>
  <c r="F129" i="16" a="1"/>
  <c r="F123" i="16" a="1"/>
  <c r="F67" i="16" a="1"/>
  <c r="F113" i="16" a="1"/>
  <c r="F92" i="16" a="1"/>
  <c r="F37" i="16" a="1"/>
  <c r="F60" i="16" a="1"/>
  <c r="F133" i="16" a="1"/>
  <c r="F121" i="16" a="1"/>
  <c r="F126" i="16" a="1"/>
  <c r="F85" i="16" a="1"/>
  <c r="F127" i="16" a="1"/>
  <c r="F114" i="16" a="1"/>
  <c r="F70" i="16" a="1"/>
  <c r="F102" i="16" a="1"/>
  <c r="F93" i="16" a="1"/>
  <c r="F82" i="16" a="1"/>
  <c r="F111" i="16" a="1"/>
  <c r="F31" i="16" a="1"/>
  <c r="F71" i="16" a="1"/>
  <c r="F76" i="16" a="1"/>
  <c r="F81" i="16" a="1"/>
  <c r="F77" i="16" a="1"/>
  <c r="F122" i="16" a="1"/>
  <c r="F108" i="16" a="1"/>
  <c r="F91" i="16" a="1"/>
  <c r="F124" i="16" a="1"/>
  <c r="F128" i="16" a="1"/>
  <c r="F48" i="16" a="1"/>
  <c r="F89" i="16" a="1"/>
  <c r="F136" i="16" a="1"/>
  <c r="F100" i="16" a="1"/>
  <c r="F96" i="16" a="1"/>
  <c r="F52" i="16" a="1"/>
  <c r="F109" i="16" a="1"/>
  <c r="F101" i="16" a="1"/>
  <c r="F90" i="16" a="1"/>
  <c r="F107" i="16" a="1"/>
  <c r="F69" i="16" a="1"/>
  <c r="F132" i="16" a="1"/>
  <c r="F72" i="16" a="1"/>
  <c r="F78" i="16" a="1"/>
  <c r="F29" i="16" l="1"/>
  <c r="F30" i="16"/>
  <c r="F31" i="16"/>
  <c r="F36" i="16"/>
  <c r="F48" i="16"/>
  <c r="F51" i="16"/>
  <c r="F52" i="16"/>
  <c r="F53" i="16"/>
  <c r="F37" i="16"/>
  <c r="F38" i="16"/>
  <c r="F50" i="16"/>
  <c r="F49" i="16"/>
  <c r="F60" i="16"/>
  <c r="F61" i="16"/>
  <c r="F67" i="16"/>
  <c r="F78" i="16"/>
  <c r="F68" i="16"/>
  <c r="F76" i="16"/>
  <c r="F77" i="16"/>
  <c r="F70" i="16"/>
  <c r="F72" i="16"/>
  <c r="F79" i="16"/>
  <c r="F81" i="16"/>
  <c r="F71" i="16"/>
  <c r="F69" i="16"/>
  <c r="F98" i="16"/>
  <c r="F114" i="16"/>
  <c r="F125" i="16"/>
  <c r="F133" i="16"/>
  <c r="F136" i="16"/>
  <c r="F102" i="16"/>
  <c r="F126" i="16"/>
  <c r="F127" i="16"/>
  <c r="F121" i="16"/>
  <c r="F84" i="16"/>
  <c r="F108" i="16"/>
  <c r="F132" i="16"/>
  <c r="F113" i="16"/>
  <c r="F83" i="16"/>
  <c r="F105" i="16"/>
  <c r="F130" i="16"/>
  <c r="F89" i="16"/>
  <c r="F88" i="16"/>
  <c r="F128" i="16"/>
  <c r="F107" i="16"/>
  <c r="F87" i="16"/>
  <c r="F92" i="16"/>
  <c r="F93" i="16"/>
  <c r="F91" i="16"/>
  <c r="F119" i="16"/>
  <c r="F96" i="16"/>
  <c r="F111" i="16"/>
  <c r="F129" i="16"/>
  <c r="F100" i="16"/>
  <c r="F134" i="16"/>
  <c r="F82" i="16"/>
  <c r="F122" i="16"/>
  <c r="F131" i="16"/>
  <c r="F101" i="16"/>
  <c r="F124" i="16"/>
  <c r="F90" i="16"/>
  <c r="F123" i="16"/>
  <c r="F85" i="16"/>
  <c r="F94" i="16"/>
  <c r="F109" i="16"/>
  <c r="E29" i="16" a="1"/>
  <c r="E29" i="16" s="1"/>
  <c r="E28" i="16" a="1"/>
  <c r="E28" i="16" s="1"/>
  <c r="E30" i="16" a="1"/>
  <c r="E30" i="16" s="1"/>
  <c r="E31" i="16" a="1"/>
  <c r="E31" i="16" s="1"/>
  <c r="E32" i="16" a="1"/>
  <c r="E32" i="16" s="1"/>
  <c r="E34" i="16" a="1"/>
  <c r="E34" i="16" s="1"/>
  <c r="E36" i="16" a="1"/>
  <c r="E36" i="16" s="1"/>
  <c r="E33" i="16" a="1"/>
  <c r="E33" i="16" s="1"/>
  <c r="E35" i="16" a="1"/>
  <c r="E35" i="16" s="1"/>
  <c r="E37" i="16" a="1"/>
  <c r="E37" i="16" s="1"/>
  <c r="E38" i="16" a="1"/>
  <c r="E38" i="16" s="1"/>
  <c r="E39" i="16" a="1"/>
  <c r="E39" i="16" s="1"/>
  <c r="E40" i="16" a="1"/>
  <c r="E40" i="16" s="1"/>
  <c r="E42" i="16" a="1"/>
  <c r="E42" i="16" s="1"/>
  <c r="E43" i="16" a="1"/>
  <c r="E43" i="16" s="1"/>
  <c r="E44" i="16" a="1"/>
  <c r="E44" i="16" s="1"/>
  <c r="E45" i="16" a="1"/>
  <c r="E45" i="16" s="1"/>
  <c r="E48" i="16" a="1"/>
  <c r="E48" i="16" s="1"/>
  <c r="E41" i="16" a="1"/>
  <c r="E41" i="16" s="1"/>
  <c r="E46" i="16" a="1"/>
  <c r="E46" i="16" s="1"/>
  <c r="E49" i="16" a="1"/>
  <c r="E49" i="16" s="1"/>
  <c r="E50" i="16" a="1"/>
  <c r="E50" i="16" s="1"/>
  <c r="E51" i="16" a="1"/>
  <c r="E51" i="16" s="1"/>
  <c r="E52" i="16" a="1"/>
  <c r="E52" i="16" s="1"/>
  <c r="E53" i="16" a="1"/>
  <c r="E53" i="16" s="1"/>
  <c r="E55" i="16" a="1"/>
  <c r="E55" i="16" s="1"/>
  <c r="E57" i="16" a="1"/>
  <c r="E57" i="16" s="1"/>
  <c r="E60" i="16" a="1"/>
  <c r="E60" i="16" s="1"/>
  <c r="E56" i="16" a="1"/>
  <c r="E56" i="16" s="1"/>
  <c r="E58" i="16" a="1"/>
  <c r="E58" i="16" s="1"/>
  <c r="E59" i="16" a="1"/>
  <c r="E59" i="16" s="1"/>
  <c r="E54" i="16" a="1"/>
  <c r="E54" i="16" s="1"/>
  <c r="E61" i="16" a="1"/>
  <c r="E61" i="16" s="1"/>
  <c r="E67" i="16" a="1"/>
  <c r="E67" i="16" s="1"/>
  <c r="E68" i="16" a="1"/>
  <c r="E68" i="16" s="1"/>
  <c r="E69" i="16" a="1"/>
  <c r="E69" i="16" s="1"/>
  <c r="E70" i="16" a="1"/>
  <c r="E70" i="16" s="1"/>
  <c r="E71" i="16" a="1"/>
  <c r="E71" i="16" s="1"/>
  <c r="E72" i="16" a="1"/>
  <c r="E72" i="16" s="1"/>
  <c r="E73" i="16" a="1"/>
  <c r="E73" i="16" s="1"/>
  <c r="E75" i="16" a="1"/>
  <c r="E75" i="16" s="1"/>
  <c r="E76" i="16" a="1"/>
  <c r="E76" i="16" s="1"/>
  <c r="E74" i="16" a="1"/>
  <c r="E74" i="16" s="1"/>
  <c r="E77" i="16" a="1"/>
  <c r="E77" i="16" s="1"/>
  <c r="E78" i="16" a="1"/>
  <c r="E78" i="16" s="1"/>
  <c r="E79" i="16" a="1"/>
  <c r="E79" i="16" s="1"/>
  <c r="E80" i="16" a="1"/>
  <c r="E80" i="16" s="1"/>
  <c r="E81" i="16" a="1"/>
  <c r="E81" i="16" s="1"/>
  <c r="E82" i="16" a="1"/>
  <c r="E82" i="16" s="1"/>
  <c r="E83" i="16" a="1"/>
  <c r="E83" i="16" s="1"/>
  <c r="E84" i="16" a="1"/>
  <c r="E84" i="16" s="1"/>
  <c r="E85" i="16" a="1"/>
  <c r="E85" i="16" s="1"/>
  <c r="E86" i="16" a="1"/>
  <c r="E86" i="16" s="1"/>
  <c r="E87" i="16" a="1"/>
  <c r="E87" i="16" s="1"/>
  <c r="E88" i="16" a="1"/>
  <c r="E88" i="16" s="1"/>
  <c r="E89" i="16" a="1"/>
  <c r="E89" i="16" s="1"/>
  <c r="E90" i="16" a="1"/>
  <c r="E90" i="16" s="1"/>
  <c r="E91" i="16" a="1"/>
  <c r="E91" i="16" s="1"/>
  <c r="E92" i="16" a="1"/>
  <c r="E92" i="16" s="1"/>
  <c r="E93" i="16" a="1"/>
  <c r="E93" i="16" s="1"/>
  <c r="E94" i="16" a="1"/>
  <c r="E94" i="16" s="1"/>
  <c r="E95" i="16" a="1"/>
  <c r="E95" i="16" s="1"/>
  <c r="E96" i="16" a="1"/>
  <c r="E96" i="16" s="1"/>
  <c r="E97" i="16" a="1"/>
  <c r="E97" i="16" s="1"/>
  <c r="E98" i="16" a="1"/>
  <c r="E98" i="16" s="1"/>
  <c r="E99" i="16" a="1"/>
  <c r="E99" i="16" s="1"/>
  <c r="E100" i="16" a="1"/>
  <c r="E100" i="16" s="1"/>
  <c r="E101" i="16" a="1"/>
  <c r="E101" i="16" s="1"/>
  <c r="E102" i="16" a="1"/>
  <c r="E102" i="16" s="1"/>
  <c r="E103" i="16" a="1"/>
  <c r="E103" i="16" s="1"/>
  <c r="E105" i="16" a="1"/>
  <c r="E105" i="16" s="1"/>
  <c r="E104" i="16" a="1"/>
  <c r="E104" i="16" s="1"/>
  <c r="E107" i="16" a="1"/>
  <c r="E107" i="16" s="1"/>
  <c r="E108" i="16" a="1"/>
  <c r="E108" i="16" s="1"/>
  <c r="E109" i="16" a="1"/>
  <c r="E109" i="16" s="1"/>
  <c r="E110" i="16" a="1"/>
  <c r="E110" i="16" s="1"/>
  <c r="E111" i="16" a="1"/>
  <c r="E111" i="16" s="1"/>
  <c r="E113" i="16" a="1"/>
  <c r="E113" i="16" s="1"/>
  <c r="E114" i="16" a="1"/>
  <c r="E114" i="16" s="1"/>
  <c r="E118" i="16" a="1"/>
  <c r="E118" i="16" s="1"/>
  <c r="E119" i="16" a="1"/>
  <c r="E119" i="16" s="1"/>
  <c r="E120" i="16" a="1"/>
  <c r="E120" i="16" s="1"/>
  <c r="E121" i="16" a="1"/>
  <c r="E121" i="16" s="1"/>
  <c r="E122" i="16" a="1"/>
  <c r="E122" i="16" s="1"/>
  <c r="E123" i="16" a="1"/>
  <c r="E123" i="16" s="1"/>
  <c r="E124" i="16" a="1"/>
  <c r="E124" i="16" s="1"/>
  <c r="E125" i="16" a="1"/>
  <c r="E125" i="16" s="1"/>
  <c r="E126" i="16" a="1"/>
  <c r="E126" i="16" s="1"/>
  <c r="E127" i="16" a="1"/>
  <c r="E127" i="16" s="1"/>
  <c r="E128" i="16" a="1"/>
  <c r="E128" i="16" s="1"/>
  <c r="E129" i="16" a="1"/>
  <c r="E129" i="16" s="1"/>
  <c r="E130" i="16" a="1"/>
  <c r="E130" i="16" s="1"/>
  <c r="E131" i="16" a="1"/>
  <c r="E131" i="16" s="1"/>
  <c r="E132" i="16" a="1"/>
  <c r="E132" i="16" s="1"/>
  <c r="E133" i="16" a="1"/>
  <c r="E133" i="16" s="1"/>
  <c r="E134" i="16" a="1"/>
  <c r="E134" i="16" s="1"/>
  <c r="E136" i="16" a="1"/>
  <c r="E136" i="16" s="1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05" i="16" l="1"/>
  <c r="G119" i="16"/>
  <c r="G77" i="16"/>
  <c r="G84" i="16"/>
  <c r="G130" i="16"/>
  <c r="G109" i="16"/>
  <c r="G122" i="16"/>
  <c r="G69" i="16"/>
  <c r="G121" i="16"/>
  <c r="G91" i="16"/>
  <c r="G29" i="16"/>
  <c r="G49" i="16"/>
  <c r="G68" i="16"/>
  <c r="G127" i="16"/>
  <c r="G76" i="16"/>
  <c r="G114" i="16"/>
  <c r="G60" i="16"/>
  <c r="G133" i="16"/>
  <c r="G96" i="16"/>
  <c r="G132" i="16"/>
  <c r="G113" i="16"/>
  <c r="G79" i="16"/>
  <c r="G37" i="16"/>
  <c r="G124" i="16"/>
  <c r="G30" i="16"/>
  <c r="G108" i="16"/>
  <c r="G128" i="16"/>
  <c r="G52" i="16"/>
  <c r="G125" i="16"/>
  <c r="G51" i="16"/>
  <c r="G83" i="16"/>
  <c r="G48" i="16"/>
  <c r="G100" i="16"/>
  <c r="G136" i="16"/>
  <c r="G134" i="16"/>
  <c r="G81" i="16"/>
  <c r="G131" i="16"/>
  <c r="G111" i="16"/>
  <c r="G129" i="16"/>
  <c r="G38" i="16"/>
  <c r="G107" i="16"/>
  <c r="G53" i="16"/>
  <c r="G89" i="16"/>
  <c r="G88" i="16"/>
  <c r="G71" i="16"/>
  <c r="G50" i="16"/>
  <c r="G72" i="16"/>
  <c r="G36" i="16"/>
  <c r="G70" i="16"/>
  <c r="G98" i="16"/>
  <c r="G82" i="16"/>
  <c r="G92" i="16"/>
  <c r="G90" i="16"/>
  <c r="G87" i="16"/>
  <c r="G102" i="16"/>
  <c r="G85" i="16"/>
  <c r="G31" i="16"/>
  <c r="G61" i="16"/>
  <c r="G67" i="16"/>
  <c r="G78" i="16"/>
  <c r="G126" i="16"/>
  <c r="G93" i="16"/>
  <c r="H93" i="16"/>
  <c r="R92" i="16" s="1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<sst xmlns="http://schemas.openxmlformats.org/spreadsheetml/2006/main" count="1767" uniqueCount="407">
  <si>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</si>
  <si>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</si>
  <si>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</si>
  <si>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</si>
  <si>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</si>
  <si>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</si>
  <si>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</si>
  <si>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</si>
  <si>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</si>
  <si>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</si>
  <si>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</si>
  <si>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</si>
  <si>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</si>
  <si>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</si>
  <si>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</si>
  <si>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</si>
  <si>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</si>
  <si>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</si>
  <si>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</si>
  <si>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</si>
  <si>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</si>
  <si>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</si>
  <si>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</si>
  <si>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</si>
  <si>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</si>
  <si>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</si>
  <si>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</si>
  <si>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</si>
  <si>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</si>
  <si>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</si>
  <si>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</si>
  <si>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</si>
  <si>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</si>
  <si>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</si>
  <si>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</si>
  <si>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</si>
  <si>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</si>
  <si>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</si>
  <si>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</si>
  <si>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</si>
  <si>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</si>
  <si>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</si>
  <si>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</si>
  <si>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</si>
  <si>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</si>
  <si>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</si>
  <si>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</si>
  <si>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</si>
  <si>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</si>
  <si>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</si>
  <si>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</si>
  <si>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</si>
  <si>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</si>
  <si>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</si>
  <si>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</si>
  <si>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</si>
  <si>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</si>
  <si>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</si>
  <si>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</si>
  <si>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</si>
  <si>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</si>
  <si>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</si>
  <si>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</si>
  <si>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</si>
  <si>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</si>
  <si>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</si>
  <si>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</si>
  <si>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</si>
  <si>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</si>
  <si>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</si>
  <si>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</si>
  <si>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</si>
  <si>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</si>
  <si>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</si>
  <si>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</si>
  <si>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</si>
  <si>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</si>
  <si>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</si>
  <si>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</si>
  <si>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</si>
  <si>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</si>
  <si>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</si>
  <si>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</si>
  <si>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</si>
  <si>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</si>
  <si>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</si>
  <si>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</si>
  <si>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</si>
  <si>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</si>
  <si>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</si>
  <si>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</si>
  <si>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</si>
  <si>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</si>
  <si>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</si>
  <si>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</si>
  <si>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</si>
  <si>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</si>
  <si>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</si>
  <si>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</si>
  <si>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</si>
  <si>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</si>
  <si>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</si>
  <si>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</si>
  <si>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</si>
  <si>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</si>
  <si>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</si>
  <si>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</si>
  <si>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</si>
  <si>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</si>
  <si>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</si>
  <si>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</si>
  <si>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</si>
  <si>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</si>
  <si>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</si>
  <si>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</si>
  <si>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</si>
  <si>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</si>
  <si>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</si>
  <si>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</si>
  <si>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</si>
  <si>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</si>
  <si>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</si>
  <si>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</si>
  <si>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</si>
  <si>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</si>
  <si>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</si>
  <si>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</si>
  <si>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</si>
  <si>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</si>
  <si>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</si>
  <si>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</si>
  <si>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</si>
  <si>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</si>
  <si>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</si>
  <si>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</si>
  <si>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</si>
  <si>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</si>
  <si>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</si>
  <si>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</si>
  <si>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</si>
  <si>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</si>
  <si>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</si>
  <si>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</si>
  <si>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</si>
  <si>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</si>
  <si>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</si>
  <si>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</si>
  <si>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</si>
  <si>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</si>
  <si>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</si>
  <si>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</si>
  <si>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</si>
  <si>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</si>
  <si>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</si>
  <si>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</si>
  <si>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</si>
  <si>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</si>
  <si>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</si>
  <si>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</si>
  <si>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</si>
  <si>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</si>
  <si>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</si>
  <si>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</si>
  <si>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</si>
  <si>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</si>
  <si>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</si>
  <si>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</si>
  <si>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</si>
  <si>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</si>
  <si>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</si>
  <si>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</si>
  <si>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</si>
  <si>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</si>
  <si>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</si>
  <si>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</si>
  <si>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</si>
  <si>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</si>
  <si>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</si>
  <si>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</si>
  <si>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</si>
  <si>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</si>
  <si>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</si>
  <si>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</si>
  <si>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</si>
  <si>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</si>
  <si>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</si>
  <si>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</si>
  <si>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</si>
  <si>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</si>
  <si>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</si>
  <si>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</si>
  <si>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</si>
  <si>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</si>
  <si>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</si>
  <si>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</si>
  <si>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</si>
  <si>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</si>
  <si>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</si>
  <si>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</si>
  <si>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</si>
  <si>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</si>
  <si>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</si>
  <si>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</si>
  <si>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</si>
  <si>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</si>
  <si>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</si>
  <si>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</si>
  <si>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</si>
  <si>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</si>
  <si>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</si>
  <si>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</si>
  <si>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</si>
  <si>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</si>
  <si>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</si>
  <si>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</si>
  <si>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</si>
  <si>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</si>
  <si>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</si>
  <si>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</si>
  <si>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</si>
  <si>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</si>
  <si>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</si>
  <si>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</si>
  <si>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</si>
  <si>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</si>
  <si>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</si>
  <si>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</si>
  <si>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</si>
  <si>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</si>
  <si>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</si>
  <si>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</si>
  <si>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</si>
  <si>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</si>
  <si>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</si>
  <si>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</si>
  <si>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</si>
  <si>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</si>
  <si>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</si>
  <si>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</si>
  <si>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</si>
  <si>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</si>
  <si>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</si>
  <si>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</si>
  <si>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</si>
  <si>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</si>
  <si>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</si>
  <si>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</si>
  <si>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</si>
  <si>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</si>
  <si>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</si>
  <si>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</si>
  <si>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</si>
  <si>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</si>
  <si>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</si>
  <si>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</si>
  <si>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</si>
  <si>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</si>
  <si>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</si>
  <si>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</si>
  <si>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</si>
  <si>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</si>
  <si>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</si>
  <si>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</si>
  <si>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</si>
  <si>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</si>
  <si>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</si>
  <si>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</si>
  <si>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</si>
  <si>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</si>
  <si>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</si>
  <si>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</si>
  <si>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</si>
  <si>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</si>
  <si>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</si>
  <si>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</si>
  <si>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</si>
  <si>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</si>
  <si>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</si>
  <si>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</si>
  <si>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</si>
  <si>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</si>
  <si>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</si>
  <si>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</si>
  <si>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</si>
  <si>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</si>
  <si>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</si>
  <si>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</si>
  <si>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</si>
  <si>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</si>
  <si>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</si>
  <si>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</si>
  <si>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</si>
  <si>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</si>
  <si>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</si>
  <si>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</si>
  <si>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</si>
  <si>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</si>
  <si>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</si>
  <si>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</si>
  <si>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</si>
  <si>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</si>
  <si>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</si>
  <si>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</si>
  <si>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</si>
  <si>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</si>
  <si>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</si>
  <si>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</si>
  <si>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</si>
  <si>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</si>
  <si>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</si>
  <si>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</si>
  <si>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</si>
  <si>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</si>
  <si>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</si>
  <si>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</si>
  <si>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</si>
  <si>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</si>
  <si>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</si>
  <si>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</si>
  <si>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</si>
  <si>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</si>
  <si>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</si>
  <si>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</si>
  <si>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</si>
  <si>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</si>
  <si>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</si>
  <si>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</si>
  <si>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</si>
  <si>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</si>
  <si>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</si>
  <si>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</si>
  <si>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</si>
  <si>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</si>
  <si>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</si>
  <si>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</si>
  <si>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</si>
  <si>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</si>
  <si>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</si>
  <si>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</si>
  <si>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</si>
  <si>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</si>
  <si>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</si>
  <si>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</si>
  <si>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</si>
  <si>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</si>
  <si>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</si>
  <si>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</si>
  <si>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</si>
  <si>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</si>
  <si>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</si>
  <si>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</si>
  <si>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</si>
  <si>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</si>
  <si>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</si>
  <si>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</si>
  <si>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</si>
  <si>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</si>
  <si>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</si>
  <si>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</si>
  <si>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</si>
  <si>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</si>
  <si>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</si>
  <si>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</si>
  <si>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</si>
  <si>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</si>
  <si>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</si>
  <si>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</si>
  <si>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</si>
  <si>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</si>
  <si>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</si>
  <si>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</si>
  <si>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</si>
  <si>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t>m1</t>
  </si>
  <si>
    <t>Length of free loaded thread</t>
  </si>
  <si>
    <t>m2</t>
  </si>
  <si>
    <t>N_d</t>
  </si>
  <si>
    <t>Shank diameter</t>
  </si>
  <si>
    <t>Delta_sigma_d</t>
  </si>
  <si>
    <t>Pitch diameter</t>
  </si>
  <si>
    <t>safety factor loads</t>
  </si>
  <si>
    <t>Minor diameter</t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</si>
  <si>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</si>
  <si>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</si>
  <si>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</si>
  <si>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</si>
  <si>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</si>
  <si>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</si>
  <si>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</si>
  <si>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</si>
  <si>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</si>
  <si>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</si>
  <si>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</si>
  <si>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</si>
  <si>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</si>
  <si>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</si>
  <si>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</si>
  <si>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</si>
  <si>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</si>
  <si>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</si>
  <si>
    <t>lsh</t>
  </si>
  <si>
    <t>lGew</t>
  </si>
  <si>
    <t>dsh</t>
  </si>
  <si>
    <t>d2</t>
  </si>
  <si>
    <t>d3</t>
  </si>
  <si>
    <r>
      <t>f</t>
    </r>
    <r>
      <rPr>
        <vertAlign val="subscript"/>
        <sz val="10"/>
        <color theme="1"/>
        <rFont val="Arial"/>
        <family val="2"/>
      </rPr>
      <t>tot</t>
    </r>
  </si>
  <si>
    <t>ftot</t>
  </si>
  <si>
    <t>[mm4]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</si>
</sst>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7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7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8" fillId="0" borderId="0" xfId="4" applyFont="1" applyAlignment="1">
      <alignment horizontal="center" vertical="top" wrapText="1"/>
    </xf>
    <xf numFmtId="0" fontId="68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</cellXfs>
  <cellStyles count="32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-1272.9315816366502</c:v>
                </c:pt>
                <c:pt idx="1">
                  <c:v>-1246.5525378209836</c:v>
                </c:pt>
                <c:pt idx="2">
                  <c:v>-1220.1734940053168</c:v>
                </c:pt>
                <c:pt idx="3">
                  <c:v>-1193.7944501896502</c:v>
                </c:pt>
                <c:pt idx="4">
                  <c:v>-1167.4154063739834</c:v>
                </c:pt>
                <c:pt idx="5">
                  <c:v>-1141.0363625583168</c:v>
                </c:pt>
                <c:pt idx="6">
                  <c:v>-1114.6573187426502</c:v>
                </c:pt>
                <c:pt idx="7">
                  <c:v>-1088.2782749269836</c:v>
                </c:pt>
                <c:pt idx="8">
                  <c:v>-1061.899231111317</c:v>
                </c:pt>
                <c:pt idx="9">
                  <c:v>-1035.5201872956502</c:v>
                </c:pt>
                <c:pt idx="10">
                  <c:v>-1009.1411434799836</c:v>
                </c:pt>
                <c:pt idx="11">
                  <c:v>-982.76209966431679</c:v>
                </c:pt>
                <c:pt idx="12">
                  <c:v>-956.3830558486502</c:v>
                </c:pt>
                <c:pt idx="13">
                  <c:v>-930.0040120329835</c:v>
                </c:pt>
                <c:pt idx="14">
                  <c:v>-903.62496821731679</c:v>
                </c:pt>
                <c:pt idx="15">
                  <c:v>-877.2459244016502</c:v>
                </c:pt>
                <c:pt idx="16">
                  <c:v>-850.86688058598338</c:v>
                </c:pt>
                <c:pt idx="17">
                  <c:v>-824.48783677031679</c:v>
                </c:pt>
                <c:pt idx="18">
                  <c:v>-798.10879295465008</c:v>
                </c:pt>
                <c:pt idx="19">
                  <c:v>-771.72974913898338</c:v>
                </c:pt>
                <c:pt idx="20">
                  <c:v>-745.35070532331679</c:v>
                </c:pt>
                <c:pt idx="21">
                  <c:v>-718.97166150765008</c:v>
                </c:pt>
                <c:pt idx="22">
                  <c:v>-692.59261769198338</c:v>
                </c:pt>
                <c:pt idx="23">
                  <c:v>-666.21357387631679</c:v>
                </c:pt>
                <c:pt idx="24">
                  <c:v>-639.83453006065008</c:v>
                </c:pt>
                <c:pt idx="25">
                  <c:v>-613.45548624498338</c:v>
                </c:pt>
                <c:pt idx="26">
                  <c:v>-587.07644242931667</c:v>
                </c:pt>
                <c:pt idx="27">
                  <c:v>-560.69739861364997</c:v>
                </c:pt>
                <c:pt idx="28">
                  <c:v>-534.31835479798326</c:v>
                </c:pt>
                <c:pt idx="29">
                  <c:v>-507.93931098231673</c:v>
                </c:pt>
                <c:pt idx="30">
                  <c:v>-481.56026716665002</c:v>
                </c:pt>
                <c:pt idx="31">
                  <c:v>-455.18122335098337</c:v>
                </c:pt>
                <c:pt idx="32">
                  <c:v>-428.80217953531667</c:v>
                </c:pt>
                <c:pt idx="33">
                  <c:v>-402.42313571964996</c:v>
                </c:pt>
                <c:pt idx="34">
                  <c:v>-376.04409190398326</c:v>
                </c:pt>
                <c:pt idx="35">
                  <c:v>-349.66504808831655</c:v>
                </c:pt>
                <c:pt idx="36">
                  <c:v>-323.28600427265002</c:v>
                </c:pt>
                <c:pt idx="37">
                  <c:v>-296.90696045698331</c:v>
                </c:pt>
                <c:pt idx="38">
                  <c:v>-270.52791664131661</c:v>
                </c:pt>
                <c:pt idx="39">
                  <c:v>-244.1488728256499</c:v>
                </c:pt>
                <c:pt idx="40">
                  <c:v>-217.76982900998323</c:v>
                </c:pt>
                <c:pt idx="41">
                  <c:v>-191.39078519431663</c:v>
                </c:pt>
                <c:pt idx="42">
                  <c:v>-165.01174137864984</c:v>
                </c:pt>
                <c:pt idx="43">
                  <c:v>-138.63269756298325</c:v>
                </c:pt>
                <c:pt idx="44">
                  <c:v>-112.25365374731645</c:v>
                </c:pt>
                <c:pt idx="45">
                  <c:v>-85.874609931649871</c:v>
                </c:pt>
                <c:pt idx="46">
                  <c:v>-59.495566115983294</c:v>
                </c:pt>
                <c:pt idx="47">
                  <c:v>-33.11652230031649</c:v>
                </c:pt>
                <c:pt idx="48">
                  <c:v>-6.7374784846499098</c:v>
                </c:pt>
                <c:pt idx="49">
                  <c:v>19.641565331016899</c:v>
                </c:pt>
                <c:pt idx="50">
                  <c:v>46.020609146683476</c:v>
                </c:pt>
                <c:pt idx="51">
                  <c:v>72.399652962350288</c:v>
                </c:pt>
                <c:pt idx="52">
                  <c:v>98.778696778016865</c:v>
                </c:pt>
                <c:pt idx="53">
                  <c:v>125.15774059368344</c:v>
                </c:pt>
                <c:pt idx="54">
                  <c:v>151.53678440935025</c:v>
                </c:pt>
                <c:pt idx="55">
                  <c:v>177.91582822501684</c:v>
                </c:pt>
                <c:pt idx="56">
                  <c:v>204.29487204068363</c:v>
                </c:pt>
                <c:pt idx="57">
                  <c:v>230.67391585635022</c:v>
                </c:pt>
                <c:pt idx="58">
                  <c:v>257.05295967201681</c:v>
                </c:pt>
                <c:pt idx="59">
                  <c:v>283.43200348768357</c:v>
                </c:pt>
                <c:pt idx="60">
                  <c:v>309.81104730335016</c:v>
                </c:pt>
                <c:pt idx="61">
                  <c:v>336.19009111901698</c:v>
                </c:pt>
                <c:pt idx="62">
                  <c:v>362.56913493468358</c:v>
                </c:pt>
                <c:pt idx="63">
                  <c:v>388.94817875035039</c:v>
                </c:pt>
                <c:pt idx="64">
                  <c:v>415.32722256601693</c:v>
                </c:pt>
                <c:pt idx="65">
                  <c:v>441.70626638168352</c:v>
                </c:pt>
                <c:pt idx="66">
                  <c:v>468.08531019735034</c:v>
                </c:pt>
                <c:pt idx="67">
                  <c:v>494.46435401301693</c:v>
                </c:pt>
                <c:pt idx="68">
                  <c:v>520.84339782868369</c:v>
                </c:pt>
                <c:pt idx="69">
                  <c:v>547.22244164435028</c:v>
                </c:pt>
                <c:pt idx="70">
                  <c:v>573.6014854600171</c:v>
                </c:pt>
                <c:pt idx="71">
                  <c:v>599.98052927568369</c:v>
                </c:pt>
                <c:pt idx="72">
                  <c:v>626.35957309135028</c:v>
                </c:pt>
                <c:pt idx="73">
                  <c:v>652.7386169070171</c:v>
                </c:pt>
                <c:pt idx="74">
                  <c:v>679.11766072268369</c:v>
                </c:pt>
                <c:pt idx="75">
                  <c:v>705.49670453835051</c:v>
                </c:pt>
                <c:pt idx="76">
                  <c:v>731.87574835401699</c:v>
                </c:pt>
                <c:pt idx="77">
                  <c:v>758.25479216968358</c:v>
                </c:pt>
                <c:pt idx="78">
                  <c:v>784.6338359853504</c:v>
                </c:pt>
                <c:pt idx="79">
                  <c:v>811.01287980101699</c:v>
                </c:pt>
                <c:pt idx="80">
                  <c:v>837.39192361668381</c:v>
                </c:pt>
                <c:pt idx="81">
                  <c:v>863.77096743235063</c:v>
                </c:pt>
                <c:pt idx="82">
                  <c:v>890.15001124801699</c:v>
                </c:pt>
                <c:pt idx="83">
                  <c:v>916.52905506368381</c:v>
                </c:pt>
                <c:pt idx="84">
                  <c:v>942.90809887935063</c:v>
                </c:pt>
                <c:pt idx="85">
                  <c:v>969.28714269501688</c:v>
                </c:pt>
                <c:pt idx="86">
                  <c:v>995.6661865106837</c:v>
                </c:pt>
                <c:pt idx="87">
                  <c:v>1022.0452303263505</c:v>
                </c:pt>
                <c:pt idx="88">
                  <c:v>1048.4242741420173</c:v>
                </c:pt>
                <c:pt idx="89">
                  <c:v>1074.8033179576837</c:v>
                </c:pt>
                <c:pt idx="90">
                  <c:v>1101.1823617733505</c:v>
                </c:pt>
                <c:pt idx="91">
                  <c:v>1127.5614055890173</c:v>
                </c:pt>
                <c:pt idx="92">
                  <c:v>1153.9404494046837</c:v>
                </c:pt>
                <c:pt idx="93">
                  <c:v>1180.3194932203505</c:v>
                </c:pt>
                <c:pt idx="94">
                  <c:v>1206.6985370360173</c:v>
                </c:pt>
                <c:pt idx="95">
                  <c:v>1233.0775808516842</c:v>
                </c:pt>
                <c:pt idx="96">
                  <c:v>1259.4566246673505</c:v>
                </c:pt>
                <c:pt idx="97">
                  <c:v>1285.8356684830173</c:v>
                </c:pt>
                <c:pt idx="98">
                  <c:v>1312.2147122986842</c:v>
                </c:pt>
                <c:pt idx="99">
                  <c:v>1338.5937561143503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-96.821808855382997</c:v>
                </c:pt>
                <c:pt idx="1">
                  <c:v>-96.821808855382997</c:v>
                </c:pt>
                <c:pt idx="2">
                  <c:v>-96.821808855382997</c:v>
                </c:pt>
                <c:pt idx="3">
                  <c:v>-96.798691698487431</c:v>
                </c:pt>
                <c:pt idx="4">
                  <c:v>-96.685949462942787</c:v>
                </c:pt>
                <c:pt idx="5">
                  <c:v>-96.479421312436472</c:v>
                </c:pt>
                <c:pt idx="6">
                  <c:v>-96.179107246968471</c:v>
                </c:pt>
                <c:pt idx="7">
                  <c:v>-95.785007266538813</c:v>
                </c:pt>
                <c:pt idx="8">
                  <c:v>-95.297121371147455</c:v>
                </c:pt>
                <c:pt idx="9">
                  <c:v>-94.715449560794426</c:v>
                </c:pt>
                <c:pt idx="10">
                  <c:v>-94.039991835479725</c:v>
                </c:pt>
                <c:pt idx="11">
                  <c:v>-93.270748195203353</c:v>
                </c:pt>
                <c:pt idx="12">
                  <c:v>-92.407718639965282</c:v>
                </c:pt>
                <c:pt idx="13">
                  <c:v>-91.450903169765567</c:v>
                </c:pt>
                <c:pt idx="14">
                  <c:v>-90.400301784604153</c:v>
                </c:pt>
                <c:pt idx="15">
                  <c:v>-89.255914484481082</c:v>
                </c:pt>
                <c:pt idx="16">
                  <c:v>-88.017741269396311</c:v>
                </c:pt>
                <c:pt idx="17">
                  <c:v>-86.685782139349882</c:v>
                </c:pt>
                <c:pt idx="18">
                  <c:v>-85.260037094341769</c:v>
                </c:pt>
                <c:pt idx="19">
                  <c:v>-83.740506134371984</c:v>
                </c:pt>
                <c:pt idx="20">
                  <c:v>-82.127189259440513</c:v>
                </c:pt>
                <c:pt idx="21">
                  <c:v>-80.420086469547371</c:v>
                </c:pt>
                <c:pt idx="22">
                  <c:v>-78.619197764692544</c:v>
                </c:pt>
                <c:pt idx="23">
                  <c:v>-76.724523144876073</c:v>
                </c:pt>
                <c:pt idx="24">
                  <c:v>-74.736062610097889</c:v>
                </c:pt>
                <c:pt idx="25">
                  <c:v>-72.653816160358062</c:v>
                </c:pt>
                <c:pt idx="26">
                  <c:v>-70.477783795656535</c:v>
                </c:pt>
                <c:pt idx="27">
                  <c:v>-68.207965515993337</c:v>
                </c:pt>
                <c:pt idx="28">
                  <c:v>-65.844361321368467</c:v>
                </c:pt>
                <c:pt idx="29">
                  <c:v>-63.386971211781919</c:v>
                </c:pt>
                <c:pt idx="30">
                  <c:v>-60.835795187233707</c:v>
                </c:pt>
                <c:pt idx="31">
                  <c:v>-58.190833247723795</c:v>
                </c:pt>
                <c:pt idx="32">
                  <c:v>-55.452085393252219</c:v>
                </c:pt>
                <c:pt idx="33">
                  <c:v>-52.619551623818964</c:v>
                </c:pt>
                <c:pt idx="34">
                  <c:v>-49.693231939424038</c:v>
                </c:pt>
                <c:pt idx="35">
                  <c:v>-46.673126340067427</c:v>
                </c:pt>
                <c:pt idx="36">
                  <c:v>-43.559234825749151</c:v>
                </c:pt>
                <c:pt idx="37">
                  <c:v>-40.351557396469197</c:v>
                </c:pt>
                <c:pt idx="38">
                  <c:v>-37.050094052227564</c:v>
                </c:pt>
                <c:pt idx="39">
                  <c:v>-33.654844793024246</c:v>
                </c:pt>
                <c:pt idx="40">
                  <c:v>-30.165809618859257</c:v>
                </c:pt>
                <c:pt idx="41">
                  <c:v>-26.58298852973261</c:v>
                </c:pt>
                <c:pt idx="42">
                  <c:v>-22.906381525644253</c:v>
                </c:pt>
                <c:pt idx="43">
                  <c:v>-19.135988606594253</c:v>
                </c:pt>
                <c:pt idx="44">
                  <c:v>-15.271809772582541</c:v>
                </c:pt>
                <c:pt idx="45">
                  <c:v>-11.290524758399931</c:v>
                </c:pt>
                <c:pt idx="46">
                  <c:v>-7.136297830679041</c:v>
                </c:pt>
                <c:pt idx="47">
                  <c:v>-2.8067025816687563</c:v>
                </c:pt>
                <c:pt idx="48">
                  <c:v>1.6982609886308506</c:v>
                </c:pt>
                <c:pt idx="49">
                  <c:v>6.378592880219859</c:v>
                </c:pt>
                <c:pt idx="50">
                  <c:v>11.234293093098186</c:v>
                </c:pt>
                <c:pt idx="51">
                  <c:v>16.265361627265918</c:v>
                </c:pt>
                <c:pt idx="52">
                  <c:v>21.47179848272296</c:v>
                </c:pt>
                <c:pt idx="53">
                  <c:v>26.853603659469364</c:v>
                </c:pt>
                <c:pt idx="54">
                  <c:v>32.41077715750518</c:v>
                </c:pt>
                <c:pt idx="55">
                  <c:v>38.143318976830301</c:v>
                </c:pt>
                <c:pt idx="56">
                  <c:v>44.051229117444834</c:v>
                </c:pt>
                <c:pt idx="57">
                  <c:v>50.134507579348679</c:v>
                </c:pt>
                <c:pt idx="58">
                  <c:v>56.393154362541893</c:v>
                </c:pt>
                <c:pt idx="59">
                  <c:v>62.827169467024504</c:v>
                </c:pt>
                <c:pt idx="60">
                  <c:v>69.436552892796428</c:v>
                </c:pt>
                <c:pt idx="61">
                  <c:v>76.221304639857763</c:v>
                </c:pt>
                <c:pt idx="62">
                  <c:v>83.181424708208411</c:v>
                </c:pt>
                <c:pt idx="63">
                  <c:v>90.31691309784847</c:v>
                </c:pt>
                <c:pt idx="64">
                  <c:v>97.627769808777828</c:v>
                </c:pt>
                <c:pt idx="65">
                  <c:v>105.11399484099654</c:v>
                </c:pt>
                <c:pt idx="66">
                  <c:v>112.77558819450469</c:v>
                </c:pt>
                <c:pt idx="67">
                  <c:v>120.61254986930213</c:v>
                </c:pt>
                <c:pt idx="68">
                  <c:v>128.624879865389</c:v>
                </c:pt>
                <c:pt idx="69">
                  <c:v>136.81257818276515</c:v>
                </c:pt>
                <c:pt idx="70">
                  <c:v>145.17564482143072</c:v>
                </c:pt>
                <c:pt idx="71">
                  <c:v>153.71407978138561</c:v>
                </c:pt>
                <c:pt idx="72">
                  <c:v>162.42788306262986</c:v>
                </c:pt>
                <c:pt idx="73">
                  <c:v>171.31705466516348</c:v>
                </c:pt>
                <c:pt idx="74">
                  <c:v>180.38159458898647</c:v>
                </c:pt>
                <c:pt idx="75">
                  <c:v>189.62150283409886</c:v>
                </c:pt>
                <c:pt idx="76">
                  <c:v>199.03677940050054</c:v>
                </c:pt>
                <c:pt idx="77">
                  <c:v>208.62742428819158</c:v>
                </c:pt>
                <c:pt idx="78">
                  <c:v>218.39343749717207</c:v>
                </c:pt>
                <c:pt idx="79">
                  <c:v>228.3348190274418</c:v>
                </c:pt>
                <c:pt idx="80">
                  <c:v>238.451568879001</c:v>
                </c:pt>
                <c:pt idx="81">
                  <c:v>248.74368705184955</c:v>
                </c:pt>
                <c:pt idx="82">
                  <c:v>259.21117354598732</c:v>
                </c:pt>
                <c:pt idx="83">
                  <c:v>269.85402836141458</c:v>
                </c:pt>
                <c:pt idx="84">
                  <c:v>280.67225149813123</c:v>
                </c:pt>
                <c:pt idx="85">
                  <c:v>291.66584295613706</c:v>
                </c:pt>
                <c:pt idx="86">
                  <c:v>302.83480273543245</c:v>
                </c:pt>
                <c:pt idx="87">
                  <c:v>314.17913083601718</c:v>
                </c:pt>
                <c:pt idx="88">
                  <c:v>325.69882725789125</c:v>
                </c:pt>
                <c:pt idx="89">
                  <c:v>337.39389200105444</c:v>
                </c:pt>
                <c:pt idx="90">
                  <c:v>349.26432506550725</c:v>
                </c:pt>
                <c:pt idx="91">
                  <c:v>361.31012645124946</c:v>
                </c:pt>
                <c:pt idx="92">
                  <c:v>373.53129615828078</c:v>
                </c:pt>
                <c:pt idx="93">
                  <c:v>385.92783418660167</c:v>
                </c:pt>
                <c:pt idx="94">
                  <c:v>398.4997405362119</c:v>
                </c:pt>
                <c:pt idx="95">
                  <c:v>411.24701520711153</c:v>
                </c:pt>
                <c:pt idx="96">
                  <c:v>424.16965819930027</c:v>
                </c:pt>
                <c:pt idx="97">
                  <c:v>437.26766951277864</c:v>
                </c:pt>
                <c:pt idx="98">
                  <c:v>450.54104914754635</c:v>
                </c:pt>
                <c:pt idx="99">
                  <c:v>463.98979710360311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-1272.9315816366502</c:v>
                </c:pt>
                <c:pt idx="1">
                  <c:v>-1246.5525378209836</c:v>
                </c:pt>
                <c:pt idx="2">
                  <c:v>-1220.1734940053168</c:v>
                </c:pt>
                <c:pt idx="3">
                  <c:v>-1193.7944501896502</c:v>
                </c:pt>
                <c:pt idx="4">
                  <c:v>-1167.4154063739834</c:v>
                </c:pt>
                <c:pt idx="5">
                  <c:v>-1141.0363625583168</c:v>
                </c:pt>
                <c:pt idx="6">
                  <c:v>-1114.6573187426502</c:v>
                </c:pt>
                <c:pt idx="7">
                  <c:v>-1088.2782749269836</c:v>
                </c:pt>
                <c:pt idx="8">
                  <c:v>-1061.899231111317</c:v>
                </c:pt>
                <c:pt idx="9">
                  <c:v>-1035.5201872956502</c:v>
                </c:pt>
                <c:pt idx="10">
                  <c:v>-1009.1411434799836</c:v>
                </c:pt>
                <c:pt idx="11">
                  <c:v>-982.76209966431679</c:v>
                </c:pt>
                <c:pt idx="12">
                  <c:v>-956.3830558486502</c:v>
                </c:pt>
                <c:pt idx="13">
                  <c:v>-930.0040120329835</c:v>
                </c:pt>
                <c:pt idx="14">
                  <c:v>-903.62496821731679</c:v>
                </c:pt>
                <c:pt idx="15">
                  <c:v>-877.2459244016502</c:v>
                </c:pt>
                <c:pt idx="16">
                  <c:v>-850.86688058598338</c:v>
                </c:pt>
                <c:pt idx="17">
                  <c:v>-824.48783677031679</c:v>
                </c:pt>
                <c:pt idx="18">
                  <c:v>-798.10879295465008</c:v>
                </c:pt>
                <c:pt idx="19">
                  <c:v>-771.72974913898338</c:v>
                </c:pt>
                <c:pt idx="20">
                  <c:v>-745.35070532331679</c:v>
                </c:pt>
                <c:pt idx="21">
                  <c:v>-718.97166150765008</c:v>
                </c:pt>
                <c:pt idx="22">
                  <c:v>-692.59261769198338</c:v>
                </c:pt>
                <c:pt idx="23">
                  <c:v>-666.21357387631679</c:v>
                </c:pt>
                <c:pt idx="24">
                  <c:v>-639.83453006065008</c:v>
                </c:pt>
                <c:pt idx="25">
                  <c:v>-613.45548624498338</c:v>
                </c:pt>
                <c:pt idx="26">
                  <c:v>-587.07644242931667</c:v>
                </c:pt>
                <c:pt idx="27">
                  <c:v>-560.69739861364997</c:v>
                </c:pt>
                <c:pt idx="28">
                  <c:v>-534.31835479798326</c:v>
                </c:pt>
                <c:pt idx="29">
                  <c:v>-507.93931098231673</c:v>
                </c:pt>
                <c:pt idx="30">
                  <c:v>-481.56026716665002</c:v>
                </c:pt>
                <c:pt idx="31">
                  <c:v>-455.18122335098337</c:v>
                </c:pt>
                <c:pt idx="32">
                  <c:v>-428.80217953531667</c:v>
                </c:pt>
                <c:pt idx="33">
                  <c:v>-402.42313571964996</c:v>
                </c:pt>
                <c:pt idx="34">
                  <c:v>-376.04409190398326</c:v>
                </c:pt>
                <c:pt idx="35">
                  <c:v>-349.66504808831655</c:v>
                </c:pt>
                <c:pt idx="36">
                  <c:v>-323.28600427265002</c:v>
                </c:pt>
                <c:pt idx="37">
                  <c:v>-296.90696045698331</c:v>
                </c:pt>
                <c:pt idx="38">
                  <c:v>-270.52791664131661</c:v>
                </c:pt>
                <c:pt idx="39">
                  <c:v>-244.1488728256499</c:v>
                </c:pt>
                <c:pt idx="40">
                  <c:v>-217.76982900998323</c:v>
                </c:pt>
                <c:pt idx="41">
                  <c:v>-191.39078519431663</c:v>
                </c:pt>
                <c:pt idx="42">
                  <c:v>-165.01174137864984</c:v>
                </c:pt>
                <c:pt idx="43">
                  <c:v>-138.63269756298325</c:v>
                </c:pt>
                <c:pt idx="44">
                  <c:v>-112.25365374731645</c:v>
                </c:pt>
                <c:pt idx="45">
                  <c:v>-85.874609931649871</c:v>
                </c:pt>
                <c:pt idx="46">
                  <c:v>-59.495566115983294</c:v>
                </c:pt>
                <c:pt idx="47">
                  <c:v>-33.11652230031649</c:v>
                </c:pt>
                <c:pt idx="48">
                  <c:v>-6.7374784846499098</c:v>
                </c:pt>
                <c:pt idx="49">
                  <c:v>19.641565331016899</c:v>
                </c:pt>
                <c:pt idx="50">
                  <c:v>46.020609146683476</c:v>
                </c:pt>
                <c:pt idx="51">
                  <c:v>72.399652962350288</c:v>
                </c:pt>
                <c:pt idx="52">
                  <c:v>98.778696778016865</c:v>
                </c:pt>
                <c:pt idx="53">
                  <c:v>125.15774059368344</c:v>
                </c:pt>
                <c:pt idx="54">
                  <c:v>151.53678440935025</c:v>
                </c:pt>
                <c:pt idx="55">
                  <c:v>177.91582822501684</c:v>
                </c:pt>
                <c:pt idx="56">
                  <c:v>204.29487204068363</c:v>
                </c:pt>
                <c:pt idx="57">
                  <c:v>230.67391585635022</c:v>
                </c:pt>
                <c:pt idx="58">
                  <c:v>257.05295967201681</c:v>
                </c:pt>
                <c:pt idx="59">
                  <c:v>283.43200348768357</c:v>
                </c:pt>
                <c:pt idx="60">
                  <c:v>309.81104730335016</c:v>
                </c:pt>
                <c:pt idx="61">
                  <c:v>336.19009111901698</c:v>
                </c:pt>
                <c:pt idx="62">
                  <c:v>362.56913493468358</c:v>
                </c:pt>
                <c:pt idx="63">
                  <c:v>388.94817875035039</c:v>
                </c:pt>
                <c:pt idx="64">
                  <c:v>415.32722256601693</c:v>
                </c:pt>
                <c:pt idx="65">
                  <c:v>441.70626638168352</c:v>
                </c:pt>
                <c:pt idx="66">
                  <c:v>468.08531019735034</c:v>
                </c:pt>
                <c:pt idx="67">
                  <c:v>494.46435401301693</c:v>
                </c:pt>
                <c:pt idx="68">
                  <c:v>520.84339782868369</c:v>
                </c:pt>
                <c:pt idx="69">
                  <c:v>547.22244164435028</c:v>
                </c:pt>
                <c:pt idx="70">
                  <c:v>573.6014854600171</c:v>
                </c:pt>
                <c:pt idx="71">
                  <c:v>599.98052927568369</c:v>
                </c:pt>
                <c:pt idx="72">
                  <c:v>626.35957309135028</c:v>
                </c:pt>
                <c:pt idx="73">
                  <c:v>652.7386169070171</c:v>
                </c:pt>
                <c:pt idx="74">
                  <c:v>679.11766072268369</c:v>
                </c:pt>
                <c:pt idx="75">
                  <c:v>705.49670453835051</c:v>
                </c:pt>
                <c:pt idx="76">
                  <c:v>731.87574835401699</c:v>
                </c:pt>
                <c:pt idx="77">
                  <c:v>758.25479216968358</c:v>
                </c:pt>
                <c:pt idx="78">
                  <c:v>784.6338359853504</c:v>
                </c:pt>
                <c:pt idx="79">
                  <c:v>811.01287980101699</c:v>
                </c:pt>
                <c:pt idx="80">
                  <c:v>837.39192361668381</c:v>
                </c:pt>
                <c:pt idx="81">
                  <c:v>863.77096743235063</c:v>
                </c:pt>
                <c:pt idx="82">
                  <c:v>890.15001124801699</c:v>
                </c:pt>
                <c:pt idx="83">
                  <c:v>916.52905506368381</c:v>
                </c:pt>
                <c:pt idx="84">
                  <c:v>942.90809887935063</c:v>
                </c:pt>
                <c:pt idx="85">
                  <c:v>969.28714269501688</c:v>
                </c:pt>
                <c:pt idx="86">
                  <c:v>995.6661865106837</c:v>
                </c:pt>
                <c:pt idx="87">
                  <c:v>1022.0452303263505</c:v>
                </c:pt>
                <c:pt idx="88">
                  <c:v>1048.4242741420173</c:v>
                </c:pt>
                <c:pt idx="89">
                  <c:v>1074.8033179576837</c:v>
                </c:pt>
                <c:pt idx="90">
                  <c:v>1101.1823617733505</c:v>
                </c:pt>
                <c:pt idx="91">
                  <c:v>1127.5614055890173</c:v>
                </c:pt>
                <c:pt idx="92">
                  <c:v>1153.9404494046837</c:v>
                </c:pt>
                <c:pt idx="93">
                  <c:v>1180.3194932203505</c:v>
                </c:pt>
                <c:pt idx="94">
                  <c:v>1206.6985370360173</c:v>
                </c:pt>
                <c:pt idx="95">
                  <c:v>1233.0775808516842</c:v>
                </c:pt>
                <c:pt idx="96">
                  <c:v>1259.4566246673505</c:v>
                </c:pt>
                <c:pt idx="97">
                  <c:v>1285.8356684830173</c:v>
                </c:pt>
                <c:pt idx="98">
                  <c:v>1312.2147122986842</c:v>
                </c:pt>
                <c:pt idx="99">
                  <c:v>1338.5937561143503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900.58823916963433</c:v>
                </c:pt>
                <c:pt idx="1">
                  <c:v>900.58823916963433</c:v>
                </c:pt>
                <c:pt idx="2">
                  <c:v>900.58823916963433</c:v>
                </c:pt>
                <c:pt idx="3">
                  <c:v>900.59591954234077</c:v>
                </c:pt>
                <c:pt idx="4">
                  <c:v>900.63337667397116</c:v>
                </c:pt>
                <c:pt idx="5">
                  <c:v>900.70199294791257</c:v>
                </c:pt>
                <c:pt idx="6">
                  <c:v>900.8017683641649</c:v>
                </c:pt>
                <c:pt idx="7">
                  <c:v>900.93270292272825</c:v>
                </c:pt>
                <c:pt idx="8">
                  <c:v>901.09479662360252</c:v>
                </c:pt>
                <c:pt idx="9">
                  <c:v>901.28804946678781</c:v>
                </c:pt>
                <c:pt idx="10">
                  <c:v>901.51246145228413</c:v>
                </c:pt>
                <c:pt idx="11">
                  <c:v>901.76803258009136</c:v>
                </c:pt>
                <c:pt idx="12">
                  <c:v>902.05476285020961</c:v>
                </c:pt>
                <c:pt idx="13">
                  <c:v>902.37265226263878</c:v>
                </c:pt>
                <c:pt idx="14">
                  <c:v>902.72170081737909</c:v>
                </c:pt>
                <c:pt idx="15">
                  <c:v>903.10190851443031</c:v>
                </c:pt>
                <c:pt idx="16">
                  <c:v>903.51327535379244</c:v>
                </c:pt>
                <c:pt idx="17">
                  <c:v>903.95580133546559</c:v>
                </c:pt>
                <c:pt idx="18">
                  <c:v>904.42948645944978</c:v>
                </c:pt>
                <c:pt idx="19">
                  <c:v>904.93433072574499</c:v>
                </c:pt>
                <c:pt idx="20">
                  <c:v>905.47033413435099</c:v>
                </c:pt>
                <c:pt idx="21">
                  <c:v>906.03749668526814</c:v>
                </c:pt>
                <c:pt idx="22">
                  <c:v>906.6358183784962</c:v>
                </c:pt>
                <c:pt idx="23">
                  <c:v>907.26529921403528</c:v>
                </c:pt>
                <c:pt idx="24">
                  <c:v>907.92593919188539</c:v>
                </c:pt>
                <c:pt idx="25">
                  <c:v>908.61773831204641</c:v>
                </c:pt>
                <c:pt idx="26">
                  <c:v>909.34069657451846</c:v>
                </c:pt>
                <c:pt idx="27">
                  <c:v>910.09481397930153</c:v>
                </c:pt>
                <c:pt idx="28">
                  <c:v>910.88009052639552</c:v>
                </c:pt>
                <c:pt idx="29">
                  <c:v>911.69652621580042</c:v>
                </c:pt>
                <c:pt idx="30">
                  <c:v>912.54412104751634</c:v>
                </c:pt>
                <c:pt idx="31">
                  <c:v>913.4228750215434</c:v>
                </c:pt>
                <c:pt idx="32">
                  <c:v>914.33278813788127</c:v>
                </c:pt>
                <c:pt idx="33">
                  <c:v>915.27386039653027</c:v>
                </c:pt>
                <c:pt idx="34">
                  <c:v>916.24609179749018</c:v>
                </c:pt>
                <c:pt idx="35">
                  <c:v>917.24948234076101</c:v>
                </c:pt>
                <c:pt idx="36">
                  <c:v>918.28403202634286</c:v>
                </c:pt>
                <c:pt idx="37">
                  <c:v>919.34974085423573</c:v>
                </c:pt>
                <c:pt idx="38">
                  <c:v>920.44660882443964</c:v>
                </c:pt>
                <c:pt idx="39">
                  <c:v>921.57463593695445</c:v>
                </c:pt>
                <c:pt idx="40">
                  <c:v>922.73382219178018</c:v>
                </c:pt>
                <c:pt idx="41">
                  <c:v>923.92416758891693</c:v>
                </c:pt>
                <c:pt idx="42">
                  <c:v>925.14567212836482</c:v>
                </c:pt>
                <c:pt idx="43">
                  <c:v>926.39833581012363</c:v>
                </c:pt>
                <c:pt idx="44">
                  <c:v>927.68215863419334</c:v>
                </c:pt>
                <c:pt idx="45">
                  <c:v>929.02237400970182</c:v>
                </c:pt>
                <c:pt idx="46">
                  <c:v>930.479398312336</c:v>
                </c:pt>
                <c:pt idx="47">
                  <c:v>932.05585700707013</c:v>
                </c:pt>
                <c:pt idx="48">
                  <c:v>933.75175009390409</c:v>
                </c:pt>
                <c:pt idx="49">
                  <c:v>935.56707757283777</c:v>
                </c:pt>
                <c:pt idx="50">
                  <c:v>937.50183944387152</c:v>
                </c:pt>
                <c:pt idx="51">
                  <c:v>939.55603570700509</c:v>
                </c:pt>
                <c:pt idx="52">
                  <c:v>941.72966636223862</c:v>
                </c:pt>
                <c:pt idx="53">
                  <c:v>944.02273140957186</c:v>
                </c:pt>
                <c:pt idx="54">
                  <c:v>946.43523084900494</c:v>
                </c:pt>
                <c:pt idx="55">
                  <c:v>948.96716468053796</c:v>
                </c:pt>
                <c:pt idx="56">
                  <c:v>951.61853290417093</c:v>
                </c:pt>
                <c:pt idx="57">
                  <c:v>954.38933551990374</c:v>
                </c:pt>
                <c:pt idx="58">
                  <c:v>957.27957252773626</c:v>
                </c:pt>
                <c:pt idx="59">
                  <c:v>960.28924392766874</c:v>
                </c:pt>
                <c:pt idx="60">
                  <c:v>963.41834971970115</c:v>
                </c:pt>
                <c:pt idx="61">
                  <c:v>966.66688990383341</c:v>
                </c:pt>
                <c:pt idx="62">
                  <c:v>970.03486448006538</c:v>
                </c:pt>
                <c:pt idx="63">
                  <c:v>973.52227344839741</c:v>
                </c:pt>
                <c:pt idx="64">
                  <c:v>977.12911680882928</c:v>
                </c:pt>
                <c:pt idx="65">
                  <c:v>980.85539456136098</c:v>
                </c:pt>
                <c:pt idx="66">
                  <c:v>984.70110670599252</c:v>
                </c:pt>
                <c:pt idx="67">
                  <c:v>988.666253242724</c:v>
                </c:pt>
                <c:pt idx="68">
                  <c:v>992.7508341715552</c:v>
                </c:pt>
                <c:pt idx="69">
                  <c:v>996.95484949248646</c:v>
                </c:pt>
                <c:pt idx="70">
                  <c:v>1001.2782992055176</c:v>
                </c:pt>
                <c:pt idx="71">
                  <c:v>1005.7211833106484</c:v>
                </c:pt>
                <c:pt idx="72">
                  <c:v>1010.2835018078792</c:v>
                </c:pt>
                <c:pt idx="73">
                  <c:v>1014.9652546972098</c:v>
                </c:pt>
                <c:pt idx="74">
                  <c:v>1019.7664419786403</c:v>
                </c:pt>
                <c:pt idx="75">
                  <c:v>1024.6870636521708</c:v>
                </c:pt>
                <c:pt idx="76">
                  <c:v>1029.7271197178009</c:v>
                </c:pt>
                <c:pt idx="77">
                  <c:v>1034.8866101755309</c:v>
                </c:pt>
                <c:pt idx="78">
                  <c:v>1040.1655350253609</c:v>
                </c:pt>
                <c:pt idx="79">
                  <c:v>1045.5638942672908</c:v>
                </c:pt>
                <c:pt idx="80">
                  <c:v>1051.0816879013207</c:v>
                </c:pt>
                <c:pt idx="81">
                  <c:v>1056.7189159274501</c:v>
                </c:pt>
                <c:pt idx="82">
                  <c:v>1062.4755783456794</c:v>
                </c:pt>
                <c:pt idx="83">
                  <c:v>1068.3516751560089</c:v>
                </c:pt>
                <c:pt idx="84">
                  <c:v>1074.3472063584381</c:v>
                </c:pt>
                <c:pt idx="85">
                  <c:v>1080.4621719529671</c:v>
                </c:pt>
                <c:pt idx="86">
                  <c:v>1086.696571939596</c:v>
                </c:pt>
                <c:pt idx="87">
                  <c:v>1093.0504063183248</c:v>
                </c:pt>
                <c:pt idx="88">
                  <c:v>1099.5236750891534</c:v>
                </c:pt>
                <c:pt idx="89">
                  <c:v>1106.1163782520821</c:v>
                </c:pt>
                <c:pt idx="90">
                  <c:v>1112.8285158071103</c:v>
                </c:pt>
                <c:pt idx="91">
                  <c:v>1119.6600877542387</c:v>
                </c:pt>
                <c:pt idx="92">
                  <c:v>1126.6110940934666</c:v>
                </c:pt>
                <c:pt idx="93">
                  <c:v>1133.6815348247947</c:v>
                </c:pt>
                <c:pt idx="94">
                  <c:v>1140.8714099482227</c:v>
                </c:pt>
                <c:pt idx="95">
                  <c:v>1148.1807194637502</c:v>
                </c:pt>
                <c:pt idx="96">
                  <c:v>1155.6094633713778</c:v>
                </c:pt>
                <c:pt idx="97">
                  <c:v>1163.1576416711052</c:v>
                </c:pt>
                <c:pt idx="98">
                  <c:v>1170.8252543629326</c:v>
                </c:pt>
                <c:pt idx="99">
                  <c:v>1178.6123014468596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-1302.1443127481327</c:v>
                </c:pt>
                <c:pt idx="1">
                  <c:v>-1276.0645843710888</c:v>
                </c:pt>
                <c:pt idx="2">
                  <c:v>-1249.9848559940447</c:v>
                </c:pt>
                <c:pt idx="3">
                  <c:v>-1223.9051276170005</c:v>
                </c:pt>
                <c:pt idx="4">
                  <c:v>-1197.8253992399566</c:v>
                </c:pt>
                <c:pt idx="5">
                  <c:v>-1171.7456708629124</c:v>
                </c:pt>
                <c:pt idx="6">
                  <c:v>-1145.6659424858685</c:v>
                </c:pt>
                <c:pt idx="7">
                  <c:v>-1119.5862141088242</c:v>
                </c:pt>
                <c:pt idx="8">
                  <c:v>-1093.5064857317802</c:v>
                </c:pt>
                <c:pt idx="9">
                  <c:v>-1067.4267573547363</c:v>
                </c:pt>
                <c:pt idx="10">
                  <c:v>-1041.3470289776922</c:v>
                </c:pt>
                <c:pt idx="11">
                  <c:v>-1015.2673006006481</c:v>
                </c:pt>
                <c:pt idx="12">
                  <c:v>-989.18757222360421</c:v>
                </c:pt>
                <c:pt idx="13">
                  <c:v>-963.10784384655994</c:v>
                </c:pt>
                <c:pt idx="14">
                  <c:v>-937.02811546951602</c:v>
                </c:pt>
                <c:pt idx="15">
                  <c:v>-910.94838709247199</c:v>
                </c:pt>
                <c:pt idx="16">
                  <c:v>-884.86865871542784</c:v>
                </c:pt>
                <c:pt idx="17">
                  <c:v>-858.78893033838392</c:v>
                </c:pt>
                <c:pt idx="18">
                  <c:v>-832.70920196133977</c:v>
                </c:pt>
                <c:pt idx="19">
                  <c:v>-806.62947358429574</c:v>
                </c:pt>
                <c:pt idx="20">
                  <c:v>-780.5497452072517</c:v>
                </c:pt>
                <c:pt idx="21">
                  <c:v>-754.47001683020767</c:v>
                </c:pt>
                <c:pt idx="22">
                  <c:v>-728.39028845316363</c:v>
                </c:pt>
                <c:pt idx="23">
                  <c:v>-702.31056007611949</c:v>
                </c:pt>
                <c:pt idx="24">
                  <c:v>-676.23083169907557</c:v>
                </c:pt>
                <c:pt idx="25">
                  <c:v>-650.15110332203142</c:v>
                </c:pt>
                <c:pt idx="26">
                  <c:v>-624.07137494498738</c:v>
                </c:pt>
                <c:pt idx="27">
                  <c:v>-597.99164656794335</c:v>
                </c:pt>
                <c:pt idx="28">
                  <c:v>-571.91191819089931</c:v>
                </c:pt>
                <c:pt idx="29">
                  <c:v>-545.83218981385517</c:v>
                </c:pt>
                <c:pt idx="30">
                  <c:v>-519.75246143681113</c:v>
                </c:pt>
                <c:pt idx="31">
                  <c:v>-493.67273305976715</c:v>
                </c:pt>
                <c:pt idx="32">
                  <c:v>-467.59300468272306</c:v>
                </c:pt>
                <c:pt idx="33">
                  <c:v>-441.51327630567897</c:v>
                </c:pt>
                <c:pt idx="34">
                  <c:v>-415.43354792863505</c:v>
                </c:pt>
                <c:pt idx="35">
                  <c:v>-389.35381955159096</c:v>
                </c:pt>
                <c:pt idx="36">
                  <c:v>-363.27409117454687</c:v>
                </c:pt>
                <c:pt idx="37">
                  <c:v>-337.19436279750278</c:v>
                </c:pt>
                <c:pt idx="38">
                  <c:v>-311.1146344204588</c:v>
                </c:pt>
                <c:pt idx="39">
                  <c:v>-285.03490604341471</c:v>
                </c:pt>
                <c:pt idx="40">
                  <c:v>-258.95517766637062</c:v>
                </c:pt>
                <c:pt idx="41">
                  <c:v>-232.87544928932655</c:v>
                </c:pt>
                <c:pt idx="42">
                  <c:v>-206.79572091228258</c:v>
                </c:pt>
                <c:pt idx="43">
                  <c:v>-180.71599253523863</c:v>
                </c:pt>
                <c:pt idx="44">
                  <c:v>-154.63626415819442</c:v>
                </c:pt>
                <c:pt idx="45">
                  <c:v>-128.55653578115044</c:v>
                </c:pt>
                <c:pt idx="46">
                  <c:v>-102.47680740410625</c:v>
                </c:pt>
                <c:pt idx="47">
                  <c:v>-76.397079027062276</c:v>
                </c:pt>
                <c:pt idx="48">
                  <c:v>-50.317350650018312</c:v>
                </c:pt>
                <c:pt idx="49">
                  <c:v>-24.237622272974114</c:v>
                </c:pt>
                <c:pt idx="50">
                  <c:v>1.842106104069855</c:v>
                </c:pt>
                <c:pt idx="51">
                  <c:v>27.921834481113823</c:v>
                </c:pt>
                <c:pt idx="52">
                  <c:v>54.001562858158024</c:v>
                </c:pt>
                <c:pt idx="53">
                  <c:v>80.081291235201988</c:v>
                </c:pt>
                <c:pt idx="54">
                  <c:v>106.16101961224597</c:v>
                </c:pt>
                <c:pt idx="55">
                  <c:v>132.24074798929016</c:v>
                </c:pt>
                <c:pt idx="56">
                  <c:v>158.32047636633413</c:v>
                </c:pt>
                <c:pt idx="57">
                  <c:v>184.40020474337808</c:v>
                </c:pt>
                <c:pt idx="58">
                  <c:v>210.47993312042229</c:v>
                </c:pt>
                <c:pt idx="59">
                  <c:v>236.55966149746627</c:v>
                </c:pt>
                <c:pt idx="60">
                  <c:v>262.63938987451047</c:v>
                </c:pt>
                <c:pt idx="61">
                  <c:v>288.71911825155445</c:v>
                </c:pt>
                <c:pt idx="62">
                  <c:v>314.79884662859843</c:v>
                </c:pt>
                <c:pt idx="63">
                  <c:v>340.87857500564263</c:v>
                </c:pt>
                <c:pt idx="64">
                  <c:v>366.95830338268655</c:v>
                </c:pt>
                <c:pt idx="65">
                  <c:v>393.03803175973053</c:v>
                </c:pt>
                <c:pt idx="66">
                  <c:v>419.11776013677473</c:v>
                </c:pt>
                <c:pt idx="67">
                  <c:v>445.19748851381871</c:v>
                </c:pt>
                <c:pt idx="68">
                  <c:v>471.27721689086269</c:v>
                </c:pt>
                <c:pt idx="69">
                  <c:v>497.35694526790689</c:v>
                </c:pt>
                <c:pt idx="70">
                  <c:v>523.43667364495082</c:v>
                </c:pt>
                <c:pt idx="71">
                  <c:v>549.51640202199508</c:v>
                </c:pt>
                <c:pt idx="72">
                  <c:v>575.596130399039</c:v>
                </c:pt>
                <c:pt idx="73">
                  <c:v>601.67585877608303</c:v>
                </c:pt>
                <c:pt idx="74">
                  <c:v>627.75558715312718</c:v>
                </c:pt>
                <c:pt idx="75">
                  <c:v>653.8353155301711</c:v>
                </c:pt>
                <c:pt idx="76">
                  <c:v>679.91504390721514</c:v>
                </c:pt>
                <c:pt idx="77">
                  <c:v>705.99477228425928</c:v>
                </c:pt>
                <c:pt idx="78">
                  <c:v>732.07450066130332</c:v>
                </c:pt>
                <c:pt idx="79">
                  <c:v>758.15422903834724</c:v>
                </c:pt>
                <c:pt idx="80">
                  <c:v>784.2339574153915</c:v>
                </c:pt>
                <c:pt idx="81">
                  <c:v>810.31368579243542</c:v>
                </c:pt>
                <c:pt idx="82">
                  <c:v>836.39341416947968</c:v>
                </c:pt>
                <c:pt idx="83">
                  <c:v>862.47314254652338</c:v>
                </c:pt>
                <c:pt idx="84">
                  <c:v>888.55287092356753</c:v>
                </c:pt>
                <c:pt idx="85">
                  <c:v>914.63259930061179</c:v>
                </c:pt>
                <c:pt idx="86">
                  <c:v>940.71232767765548</c:v>
                </c:pt>
                <c:pt idx="87">
                  <c:v>966.79205605469974</c:v>
                </c:pt>
                <c:pt idx="88">
                  <c:v>992.87178443174389</c:v>
                </c:pt>
                <c:pt idx="89">
                  <c:v>1018.9515128087876</c:v>
                </c:pt>
                <c:pt idx="90">
                  <c:v>1045.0312411858317</c:v>
                </c:pt>
                <c:pt idx="91">
                  <c:v>1071.1109695628761</c:v>
                </c:pt>
                <c:pt idx="92">
                  <c:v>1097.1906979399203</c:v>
                </c:pt>
                <c:pt idx="93">
                  <c:v>1123.2704263169639</c:v>
                </c:pt>
                <c:pt idx="94">
                  <c:v>1149.3501546940081</c:v>
                </c:pt>
                <c:pt idx="95">
                  <c:v>1175.4298830710525</c:v>
                </c:pt>
                <c:pt idx="96">
                  <c:v>1201.5096114480962</c:v>
                </c:pt>
                <c:pt idx="97">
                  <c:v>1227.5893398251403</c:v>
                </c:pt>
                <c:pt idx="98">
                  <c:v>1253.6690682021845</c:v>
                </c:pt>
                <c:pt idx="99">
                  <c:v>1279.7487965792282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-101.34325734730359</c:v>
                </c:pt>
                <c:pt idx="1">
                  <c:v>-101.34325734730359</c:v>
                </c:pt>
                <c:pt idx="2">
                  <c:v>-101.34325734730359</c:v>
                </c:pt>
                <c:pt idx="3">
                  <c:v>-101.32551491758667</c:v>
                </c:pt>
                <c:pt idx="4">
                  <c:v>-101.22270373423255</c:v>
                </c:pt>
                <c:pt idx="5">
                  <c:v>-101.02829404387359</c:v>
                </c:pt>
                <c:pt idx="6">
                  <c:v>-100.74228584650977</c:v>
                </c:pt>
                <c:pt idx="7">
                  <c:v>-100.36467914214113</c:v>
                </c:pt>
                <c:pt idx="8">
                  <c:v>-99.895473930767636</c:v>
                </c:pt>
                <c:pt idx="9">
                  <c:v>-99.334670212389312</c:v>
                </c:pt>
                <c:pt idx="10">
                  <c:v>-98.682267987006128</c:v>
                </c:pt>
                <c:pt idx="11">
                  <c:v>-97.938267254618125</c:v>
                </c:pt>
                <c:pt idx="12">
                  <c:v>-97.102668015225277</c:v>
                </c:pt>
                <c:pt idx="13">
                  <c:v>-96.175470268827581</c:v>
                </c:pt>
                <c:pt idx="14">
                  <c:v>-95.15667401542504</c:v>
                </c:pt>
                <c:pt idx="15">
                  <c:v>-94.046279255017666</c:v>
                </c:pt>
                <c:pt idx="16">
                  <c:v>-92.844285987605446</c:v>
                </c:pt>
                <c:pt idx="17">
                  <c:v>-91.550694213188393</c:v>
                </c:pt>
                <c:pt idx="18">
                  <c:v>-90.165503931766509</c:v>
                </c:pt>
                <c:pt idx="19">
                  <c:v>-88.688715143339763</c:v>
                </c:pt>
                <c:pt idx="20">
                  <c:v>-87.120327847908186</c:v>
                </c:pt>
                <c:pt idx="21">
                  <c:v>-85.460342045471762</c:v>
                </c:pt>
                <c:pt idx="22">
                  <c:v>-83.708757736030492</c:v>
                </c:pt>
                <c:pt idx="23">
                  <c:v>-81.86557491958439</c:v>
                </c:pt>
                <c:pt idx="24">
                  <c:v>-79.930793596133455</c:v>
                </c:pt>
                <c:pt idx="25">
                  <c:v>-77.904413765677674</c:v>
                </c:pt>
                <c:pt idx="26">
                  <c:v>-75.786435428217032</c:v>
                </c:pt>
                <c:pt idx="27">
                  <c:v>-73.576858583751573</c:v>
                </c:pt>
                <c:pt idx="28">
                  <c:v>-71.275683232281253</c:v>
                </c:pt>
                <c:pt idx="29">
                  <c:v>-68.8829093738061</c:v>
                </c:pt>
                <c:pt idx="30">
                  <c:v>-66.398537008326116</c:v>
                </c:pt>
                <c:pt idx="31">
                  <c:v>-63.822566135841306</c:v>
                </c:pt>
                <c:pt idx="32">
                  <c:v>-61.154996756351622</c:v>
                </c:pt>
                <c:pt idx="33">
                  <c:v>-58.395828869857112</c:v>
                </c:pt>
                <c:pt idx="34">
                  <c:v>-55.545062476357764</c:v>
                </c:pt>
                <c:pt idx="35">
                  <c:v>-52.602697575853568</c:v>
                </c:pt>
                <c:pt idx="36">
                  <c:v>-49.568734168344527</c:v>
                </c:pt>
                <c:pt idx="37">
                  <c:v>-46.443172253830653</c:v>
                </c:pt>
                <c:pt idx="38">
                  <c:v>-43.22601183231194</c:v>
                </c:pt>
                <c:pt idx="39">
                  <c:v>-39.917252903788381</c:v>
                </c:pt>
                <c:pt idx="40">
                  <c:v>-36.516895468259975</c:v>
                </c:pt>
                <c:pt idx="41">
                  <c:v>-33.02493952572673</c:v>
                </c:pt>
                <c:pt idx="42">
                  <c:v>-29.441385076188656</c:v>
                </c:pt>
                <c:pt idx="43">
                  <c:v>-25.766232119645746</c:v>
                </c:pt>
                <c:pt idx="44">
                  <c:v>-21.999480656097965</c:v>
                </c:pt>
                <c:pt idx="45">
                  <c:v>-18.14113068554537</c:v>
                </c:pt>
                <c:pt idx="46">
                  <c:v>-14.190497855970614</c:v>
                </c:pt>
                <c:pt idx="47">
                  <c:v>-10.096628820958776</c:v>
                </c:pt>
                <c:pt idx="48">
                  <c:v>-5.827871275018488</c:v>
                </c:pt>
                <c:pt idx="49">
                  <c:v>-1.3842252181497128</c:v>
                </c:pt>
                <c:pt idx="50">
                  <c:v>3.2343093496474724</c:v>
                </c:pt>
                <c:pt idx="51">
                  <c:v>8.0277324283731044</c:v>
                </c:pt>
                <c:pt idx="52">
                  <c:v>12.996044018027233</c:v>
                </c:pt>
                <c:pt idx="53">
                  <c:v>18.139244118609763</c:v>
                </c:pt>
                <c:pt idx="54">
                  <c:v>23.45733273012074</c:v>
                </c:pt>
                <c:pt idx="55">
                  <c:v>28.950309852560217</c:v>
                </c:pt>
                <c:pt idx="56">
                  <c:v>34.618175485928099</c:v>
                </c:pt>
                <c:pt idx="57">
                  <c:v>40.460929630224413</c:v>
                </c:pt>
                <c:pt idx="58">
                  <c:v>46.478572285449246</c:v>
                </c:pt>
                <c:pt idx="59">
                  <c:v>52.671103451602463</c:v>
                </c:pt>
                <c:pt idx="60">
                  <c:v>59.03852312868419</c:v>
                </c:pt>
                <c:pt idx="61">
                  <c:v>65.580831316694315</c:v>
                </c:pt>
                <c:pt idx="62">
                  <c:v>72.29802801563288</c:v>
                </c:pt>
                <c:pt idx="63">
                  <c:v>79.190113225499957</c:v>
                </c:pt>
                <c:pt idx="64">
                  <c:v>86.257086946295431</c:v>
                </c:pt>
                <c:pt idx="65">
                  <c:v>93.49894917801933</c:v>
                </c:pt>
                <c:pt idx="66">
                  <c:v>100.91569992067177</c:v>
                </c:pt>
                <c:pt idx="67">
                  <c:v>108.50733917425256</c:v>
                </c:pt>
                <c:pt idx="68">
                  <c:v>116.27386693876183</c:v>
                </c:pt>
                <c:pt idx="69">
                  <c:v>124.2152832141996</c:v>
                </c:pt>
                <c:pt idx="70">
                  <c:v>132.33158800056577</c:v>
                </c:pt>
                <c:pt idx="71">
                  <c:v>140.62278129786043</c:v>
                </c:pt>
                <c:pt idx="72">
                  <c:v>149.08886310608349</c:v>
                </c:pt>
                <c:pt idx="73">
                  <c:v>157.72983342523497</c:v>
                </c:pt>
                <c:pt idx="74">
                  <c:v>166.545692255315</c:v>
                </c:pt>
                <c:pt idx="75">
                  <c:v>175.53643959632342</c:v>
                </c:pt>
                <c:pt idx="76">
                  <c:v>184.70207544826025</c:v>
                </c:pt>
                <c:pt idx="77">
                  <c:v>194.04259981112563</c:v>
                </c:pt>
                <c:pt idx="78">
                  <c:v>203.55801268491939</c:v>
                </c:pt>
                <c:pt idx="79">
                  <c:v>213.24831406964157</c:v>
                </c:pt>
                <c:pt idx="80">
                  <c:v>223.11350396529232</c:v>
                </c:pt>
                <c:pt idx="81">
                  <c:v>233.15358237187138</c:v>
                </c:pt>
                <c:pt idx="82">
                  <c:v>243.36854928937902</c:v>
                </c:pt>
                <c:pt idx="83">
                  <c:v>253.75840471781493</c:v>
                </c:pt>
                <c:pt idx="84">
                  <c:v>264.32314865717944</c:v>
                </c:pt>
                <c:pt idx="85">
                  <c:v>275.0627811074724</c:v>
                </c:pt>
                <c:pt idx="86">
                  <c:v>285.97730206869363</c:v>
                </c:pt>
                <c:pt idx="87">
                  <c:v>297.06671154084353</c:v>
                </c:pt>
                <c:pt idx="88">
                  <c:v>308.33100952392181</c:v>
                </c:pt>
                <c:pt idx="89">
                  <c:v>319.77019601792841</c:v>
                </c:pt>
                <c:pt idx="90">
                  <c:v>331.38427102286369</c:v>
                </c:pt>
                <c:pt idx="91">
                  <c:v>343.17323453872734</c:v>
                </c:pt>
                <c:pt idx="92">
                  <c:v>355.1370865655195</c:v>
                </c:pt>
                <c:pt idx="93">
                  <c:v>367.27582710323981</c:v>
                </c:pt>
                <c:pt idx="94">
                  <c:v>379.5894561518889</c:v>
                </c:pt>
                <c:pt idx="95">
                  <c:v>392.07797371146631</c:v>
                </c:pt>
                <c:pt idx="96">
                  <c:v>404.74137978197206</c:v>
                </c:pt>
                <c:pt idx="97">
                  <c:v>417.57967436340647</c:v>
                </c:pt>
                <c:pt idx="98">
                  <c:v>430.59285745576926</c:v>
                </c:pt>
                <c:pt idx="99">
                  <c:v>443.78092905906033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-1302.1443127481327</c:v>
                </c:pt>
                <c:pt idx="1">
                  <c:v>-1276.0645843710888</c:v>
                </c:pt>
                <c:pt idx="2">
                  <c:v>-1249.9848559940447</c:v>
                </c:pt>
                <c:pt idx="3">
                  <c:v>-1223.9051276170005</c:v>
                </c:pt>
                <c:pt idx="4">
                  <c:v>-1197.8253992399566</c:v>
                </c:pt>
                <c:pt idx="5">
                  <c:v>-1171.7456708629124</c:v>
                </c:pt>
                <c:pt idx="6">
                  <c:v>-1145.6659424858685</c:v>
                </c:pt>
                <c:pt idx="7">
                  <c:v>-1119.5862141088242</c:v>
                </c:pt>
                <c:pt idx="8">
                  <c:v>-1093.5064857317802</c:v>
                </c:pt>
                <c:pt idx="9">
                  <c:v>-1067.4267573547363</c:v>
                </c:pt>
                <c:pt idx="10">
                  <c:v>-1041.3470289776922</c:v>
                </c:pt>
                <c:pt idx="11">
                  <c:v>-1015.2673006006481</c:v>
                </c:pt>
                <c:pt idx="12">
                  <c:v>-989.18757222360421</c:v>
                </c:pt>
                <c:pt idx="13">
                  <c:v>-963.10784384655994</c:v>
                </c:pt>
                <c:pt idx="14">
                  <c:v>-937.02811546951602</c:v>
                </c:pt>
                <c:pt idx="15">
                  <c:v>-910.94838709247199</c:v>
                </c:pt>
                <c:pt idx="16">
                  <c:v>-884.86865871542784</c:v>
                </c:pt>
                <c:pt idx="17">
                  <c:v>-858.78893033838392</c:v>
                </c:pt>
                <c:pt idx="18">
                  <c:v>-832.70920196133977</c:v>
                </c:pt>
                <c:pt idx="19">
                  <c:v>-806.62947358429574</c:v>
                </c:pt>
                <c:pt idx="20">
                  <c:v>-780.5497452072517</c:v>
                </c:pt>
                <c:pt idx="21">
                  <c:v>-754.47001683020767</c:v>
                </c:pt>
                <c:pt idx="22">
                  <c:v>-728.39028845316363</c:v>
                </c:pt>
                <c:pt idx="23">
                  <c:v>-702.31056007611949</c:v>
                </c:pt>
                <c:pt idx="24">
                  <c:v>-676.23083169907557</c:v>
                </c:pt>
                <c:pt idx="25">
                  <c:v>-650.15110332203142</c:v>
                </c:pt>
                <c:pt idx="26">
                  <c:v>-624.07137494498738</c:v>
                </c:pt>
                <c:pt idx="27">
                  <c:v>-597.99164656794335</c:v>
                </c:pt>
                <c:pt idx="28">
                  <c:v>-571.91191819089931</c:v>
                </c:pt>
                <c:pt idx="29">
                  <c:v>-545.83218981385517</c:v>
                </c:pt>
                <c:pt idx="30">
                  <c:v>-519.75246143681113</c:v>
                </c:pt>
                <c:pt idx="31">
                  <c:v>-493.67273305976715</c:v>
                </c:pt>
                <c:pt idx="32">
                  <c:v>-467.59300468272306</c:v>
                </c:pt>
                <c:pt idx="33">
                  <c:v>-441.51327630567897</c:v>
                </c:pt>
                <c:pt idx="34">
                  <c:v>-415.43354792863505</c:v>
                </c:pt>
                <c:pt idx="35">
                  <c:v>-389.35381955159096</c:v>
                </c:pt>
                <c:pt idx="36">
                  <c:v>-363.27409117454687</c:v>
                </c:pt>
                <c:pt idx="37">
                  <c:v>-337.19436279750278</c:v>
                </c:pt>
                <c:pt idx="38">
                  <c:v>-311.1146344204588</c:v>
                </c:pt>
                <c:pt idx="39">
                  <c:v>-285.03490604341471</c:v>
                </c:pt>
                <c:pt idx="40">
                  <c:v>-258.95517766637062</c:v>
                </c:pt>
                <c:pt idx="41">
                  <c:v>-232.87544928932655</c:v>
                </c:pt>
                <c:pt idx="42">
                  <c:v>-206.79572091228258</c:v>
                </c:pt>
                <c:pt idx="43">
                  <c:v>-180.71599253523863</c:v>
                </c:pt>
                <c:pt idx="44">
                  <c:v>-154.63626415819442</c:v>
                </c:pt>
                <c:pt idx="45">
                  <c:v>-128.55653578115044</c:v>
                </c:pt>
                <c:pt idx="46">
                  <c:v>-102.47680740410625</c:v>
                </c:pt>
                <c:pt idx="47">
                  <c:v>-76.397079027062276</c:v>
                </c:pt>
                <c:pt idx="48">
                  <c:v>-50.317350650018312</c:v>
                </c:pt>
                <c:pt idx="49">
                  <c:v>-24.237622272974114</c:v>
                </c:pt>
                <c:pt idx="50">
                  <c:v>1.842106104069855</c:v>
                </c:pt>
                <c:pt idx="51">
                  <c:v>27.921834481113823</c:v>
                </c:pt>
                <c:pt idx="52">
                  <c:v>54.001562858158024</c:v>
                </c:pt>
                <c:pt idx="53">
                  <c:v>80.081291235201988</c:v>
                </c:pt>
                <c:pt idx="54">
                  <c:v>106.16101961224597</c:v>
                </c:pt>
                <c:pt idx="55">
                  <c:v>132.24074798929016</c:v>
                </c:pt>
                <c:pt idx="56">
                  <c:v>158.32047636633413</c:v>
                </c:pt>
                <c:pt idx="57">
                  <c:v>184.40020474337808</c:v>
                </c:pt>
                <c:pt idx="58">
                  <c:v>210.47993312042229</c:v>
                </c:pt>
                <c:pt idx="59">
                  <c:v>236.55966149746627</c:v>
                </c:pt>
                <c:pt idx="60">
                  <c:v>262.63938987451047</c:v>
                </c:pt>
                <c:pt idx="61">
                  <c:v>288.71911825155445</c:v>
                </c:pt>
                <c:pt idx="62">
                  <c:v>314.79884662859843</c:v>
                </c:pt>
                <c:pt idx="63">
                  <c:v>340.87857500564263</c:v>
                </c:pt>
                <c:pt idx="64">
                  <c:v>366.95830338268655</c:v>
                </c:pt>
                <c:pt idx="65">
                  <c:v>393.03803175973053</c:v>
                </c:pt>
                <c:pt idx="66">
                  <c:v>419.11776013677473</c:v>
                </c:pt>
                <c:pt idx="67">
                  <c:v>445.19748851381871</c:v>
                </c:pt>
                <c:pt idx="68">
                  <c:v>471.27721689086269</c:v>
                </c:pt>
                <c:pt idx="69">
                  <c:v>497.35694526790689</c:v>
                </c:pt>
                <c:pt idx="70">
                  <c:v>523.43667364495082</c:v>
                </c:pt>
                <c:pt idx="71">
                  <c:v>549.51640202199508</c:v>
                </c:pt>
                <c:pt idx="72">
                  <c:v>575.596130399039</c:v>
                </c:pt>
                <c:pt idx="73">
                  <c:v>601.67585877608303</c:v>
                </c:pt>
                <c:pt idx="74">
                  <c:v>627.75558715312718</c:v>
                </c:pt>
                <c:pt idx="75">
                  <c:v>653.8353155301711</c:v>
                </c:pt>
                <c:pt idx="76">
                  <c:v>679.91504390721514</c:v>
                </c:pt>
                <c:pt idx="77">
                  <c:v>705.99477228425928</c:v>
                </c:pt>
                <c:pt idx="78">
                  <c:v>732.07450066130332</c:v>
                </c:pt>
                <c:pt idx="79">
                  <c:v>758.15422903834724</c:v>
                </c:pt>
                <c:pt idx="80">
                  <c:v>784.2339574153915</c:v>
                </c:pt>
                <c:pt idx="81">
                  <c:v>810.31368579243542</c:v>
                </c:pt>
                <c:pt idx="82">
                  <c:v>836.39341416947968</c:v>
                </c:pt>
                <c:pt idx="83">
                  <c:v>862.47314254652338</c:v>
                </c:pt>
                <c:pt idx="84">
                  <c:v>888.55287092356753</c:v>
                </c:pt>
                <c:pt idx="85">
                  <c:v>914.63259930061179</c:v>
                </c:pt>
                <c:pt idx="86">
                  <c:v>940.71232767765548</c:v>
                </c:pt>
                <c:pt idx="87">
                  <c:v>966.79205605469974</c:v>
                </c:pt>
                <c:pt idx="88">
                  <c:v>992.87178443174389</c:v>
                </c:pt>
                <c:pt idx="89">
                  <c:v>1018.9515128087876</c:v>
                </c:pt>
                <c:pt idx="90">
                  <c:v>1045.0312411858317</c:v>
                </c:pt>
                <c:pt idx="91">
                  <c:v>1071.1109695628761</c:v>
                </c:pt>
                <c:pt idx="92">
                  <c:v>1097.1906979399203</c:v>
                </c:pt>
                <c:pt idx="93">
                  <c:v>1123.2704263169639</c:v>
                </c:pt>
                <c:pt idx="94">
                  <c:v>1149.3501546940081</c:v>
                </c:pt>
                <c:pt idx="95">
                  <c:v>1175.4298830710525</c:v>
                </c:pt>
                <c:pt idx="96">
                  <c:v>1201.5096114480962</c:v>
                </c:pt>
                <c:pt idx="97">
                  <c:v>1227.5893398251403</c:v>
                </c:pt>
                <c:pt idx="98">
                  <c:v>1253.6690682021845</c:v>
                </c:pt>
                <c:pt idx="99">
                  <c:v>1279.7487965792282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899.94191757483122</c:v>
                </c:pt>
                <c:pt idx="1">
                  <c:v>899.94191757483122</c:v>
                </c:pt>
                <c:pt idx="2">
                  <c:v>899.94191757483122</c:v>
                </c:pt>
                <c:pt idx="3">
                  <c:v>899.94766336271709</c:v>
                </c:pt>
                <c:pt idx="4">
                  <c:v>899.98095819669868</c:v>
                </c:pt>
                <c:pt idx="5">
                  <c:v>900.0439167013451</c:v>
                </c:pt>
                <c:pt idx="6">
                  <c:v>900.13653887665646</c:v>
                </c:pt>
                <c:pt idx="7">
                  <c:v>900.25882472263254</c:v>
                </c:pt>
                <c:pt idx="8">
                  <c:v>900.41077423927368</c:v>
                </c:pt>
                <c:pt idx="9">
                  <c:v>900.59238742657965</c:v>
                </c:pt>
                <c:pt idx="10">
                  <c:v>900.80366428455034</c:v>
                </c:pt>
                <c:pt idx="11">
                  <c:v>901.04460481318608</c:v>
                </c:pt>
                <c:pt idx="12">
                  <c:v>901.31520901248678</c:v>
                </c:pt>
                <c:pt idx="13">
                  <c:v>901.61547688245219</c:v>
                </c:pt>
                <c:pt idx="14">
                  <c:v>901.94540842308243</c:v>
                </c:pt>
                <c:pt idx="15">
                  <c:v>902.30500363437773</c:v>
                </c:pt>
                <c:pt idx="16">
                  <c:v>902.69426251633774</c:v>
                </c:pt>
                <c:pt idx="17">
                  <c:v>903.11318506896271</c:v>
                </c:pt>
                <c:pt idx="18">
                  <c:v>903.56177129225262</c:v>
                </c:pt>
                <c:pt idx="19">
                  <c:v>904.04002118620747</c:v>
                </c:pt>
                <c:pt idx="20">
                  <c:v>904.54793475082704</c:v>
                </c:pt>
                <c:pt idx="21">
                  <c:v>905.08551198611156</c:v>
                </c:pt>
                <c:pt idx="22">
                  <c:v>905.65275289206079</c:v>
                </c:pt>
                <c:pt idx="23">
                  <c:v>906.24965746867508</c:v>
                </c:pt>
                <c:pt idx="24">
                  <c:v>906.87622571595421</c:v>
                </c:pt>
                <c:pt idx="25">
                  <c:v>907.53245763389828</c:v>
                </c:pt>
                <c:pt idx="26">
                  <c:v>908.21835322250718</c:v>
                </c:pt>
                <c:pt idx="27">
                  <c:v>908.93391248178091</c:v>
                </c:pt>
                <c:pt idx="28">
                  <c:v>909.67913541171959</c:v>
                </c:pt>
                <c:pt idx="29">
                  <c:v>910.45402201232298</c:v>
                </c:pt>
                <c:pt idx="30">
                  <c:v>911.25857228359155</c:v>
                </c:pt>
                <c:pt idx="31">
                  <c:v>912.09278622552472</c:v>
                </c:pt>
                <c:pt idx="32">
                  <c:v>912.95666383812295</c:v>
                </c:pt>
                <c:pt idx="33">
                  <c:v>913.85020512138601</c:v>
                </c:pt>
                <c:pt idx="34">
                  <c:v>914.7734100753139</c:v>
                </c:pt>
                <c:pt idx="35">
                  <c:v>915.72627869990674</c:v>
                </c:pt>
                <c:pt idx="36">
                  <c:v>916.70881099516441</c:v>
                </c:pt>
                <c:pt idx="37">
                  <c:v>917.72100696108703</c:v>
                </c:pt>
                <c:pt idx="38">
                  <c:v>918.76286659767447</c:v>
                </c:pt>
                <c:pt idx="39">
                  <c:v>919.83438990492675</c:v>
                </c:pt>
                <c:pt idx="40">
                  <c:v>920.93557688284397</c:v>
                </c:pt>
                <c:pt idx="41">
                  <c:v>922.06642753142603</c:v>
                </c:pt>
                <c:pt idx="42">
                  <c:v>923.22694185067292</c:v>
                </c:pt>
                <c:pt idx="43">
                  <c:v>924.41711984058486</c:v>
                </c:pt>
                <c:pt idx="44">
                  <c:v>925.63696150116152</c:v>
                </c:pt>
                <c:pt idx="45">
                  <c:v>926.88646683240313</c:v>
                </c:pt>
                <c:pt idx="46">
                  <c:v>928.16645249819294</c:v>
                </c:pt>
                <c:pt idx="47">
                  <c:v>929.53772310886563</c:v>
                </c:pt>
                <c:pt idx="48">
                  <c:v>931.03805059182241</c:v>
                </c:pt>
                <c:pt idx="49">
                  <c:v>932.66743494706293</c:v>
                </c:pt>
                <c:pt idx="50">
                  <c:v>934.42587617458742</c:v>
                </c:pt>
                <c:pt idx="51">
                  <c:v>936.31337427439576</c:v>
                </c:pt>
                <c:pt idx="52">
                  <c:v>938.32992924648806</c:v>
                </c:pt>
                <c:pt idx="53">
                  <c:v>940.475541090864</c:v>
                </c:pt>
                <c:pt idx="54">
                  <c:v>942.75020980752402</c:v>
                </c:pt>
                <c:pt idx="55">
                  <c:v>945.15393539646777</c:v>
                </c:pt>
                <c:pt idx="56">
                  <c:v>947.6867178576955</c:v>
                </c:pt>
                <c:pt idx="57">
                  <c:v>950.34855719120708</c:v>
                </c:pt>
                <c:pt idx="58">
                  <c:v>953.13945339700263</c:v>
                </c:pt>
                <c:pt idx="59">
                  <c:v>956.05940647508191</c:v>
                </c:pt>
                <c:pt idx="60">
                  <c:v>959.10841642544517</c:v>
                </c:pt>
                <c:pt idx="61">
                  <c:v>962.28648324809228</c:v>
                </c:pt>
                <c:pt idx="62">
                  <c:v>965.59360694302313</c:v>
                </c:pt>
                <c:pt idx="63">
                  <c:v>969.02978751023807</c:v>
                </c:pt>
                <c:pt idx="64">
                  <c:v>972.59502494973674</c:v>
                </c:pt>
                <c:pt idx="65">
                  <c:v>976.28931926151938</c:v>
                </c:pt>
                <c:pt idx="66">
                  <c:v>980.11267044558588</c:v>
                </c:pt>
                <c:pt idx="67">
                  <c:v>984.06507850193611</c:v>
                </c:pt>
                <c:pt idx="68">
                  <c:v>988.14654343057043</c:v>
                </c:pt>
                <c:pt idx="69">
                  <c:v>992.3570652314886</c:v>
                </c:pt>
                <c:pt idx="70">
                  <c:v>996.69664390469052</c:v>
                </c:pt>
                <c:pt idx="71">
                  <c:v>1001.1652794501764</c:v>
                </c:pt>
                <c:pt idx="72">
                  <c:v>1005.7629718679461</c:v>
                </c:pt>
                <c:pt idx="73">
                  <c:v>1010.4897211579997</c:v>
                </c:pt>
                <c:pt idx="74">
                  <c:v>1015.3455273203373</c:v>
                </c:pt>
                <c:pt idx="75">
                  <c:v>1020.3303903549585</c:v>
                </c:pt>
                <c:pt idx="76">
                  <c:v>1025.4443102618638</c:v>
                </c:pt>
                <c:pt idx="77">
                  <c:v>1030.687287041053</c:v>
                </c:pt>
                <c:pt idx="78">
                  <c:v>1036.0593206925257</c:v>
                </c:pt>
                <c:pt idx="79">
                  <c:v>1041.5604112162828</c:v>
                </c:pt>
                <c:pt idx="80">
                  <c:v>1047.1905586123235</c:v>
                </c:pt>
                <c:pt idx="81">
                  <c:v>1052.949762880648</c:v>
                </c:pt>
                <c:pt idx="82">
                  <c:v>1058.8380240212566</c:v>
                </c:pt>
                <c:pt idx="83">
                  <c:v>1064.8553420341491</c:v>
                </c:pt>
                <c:pt idx="84">
                  <c:v>1071.001716919325</c:v>
                </c:pt>
                <c:pt idx="85">
                  <c:v>1077.2771486767854</c:v>
                </c:pt>
                <c:pt idx="86">
                  <c:v>1083.6816373065294</c:v>
                </c:pt>
                <c:pt idx="87">
                  <c:v>1090.2151828085571</c:v>
                </c:pt>
                <c:pt idx="88">
                  <c:v>1096.877785182869</c:v>
                </c:pt>
                <c:pt idx="89">
                  <c:v>1103.6694444294644</c:v>
                </c:pt>
                <c:pt idx="90">
                  <c:v>1110.5901605483441</c:v>
                </c:pt>
                <c:pt idx="91">
                  <c:v>1117.6399335395074</c:v>
                </c:pt>
                <c:pt idx="92">
                  <c:v>1124.8187634029546</c:v>
                </c:pt>
                <c:pt idx="93">
                  <c:v>1132.1266501386858</c:v>
                </c:pt>
                <c:pt idx="94">
                  <c:v>1139.5635937467007</c:v>
                </c:pt>
                <c:pt idx="95">
                  <c:v>1147.1295942269996</c:v>
                </c:pt>
                <c:pt idx="96">
                  <c:v>1154.8246515795825</c:v>
                </c:pt>
                <c:pt idx="97">
                  <c:v>1162.6487658044491</c:v>
                </c:pt>
                <c:pt idx="98">
                  <c:v>1170.6019369015996</c:v>
                </c:pt>
                <c:pt idx="99">
                  <c:v>1178.684164871034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-1369.7800304306859</c:v>
                </c:pt>
                <c:pt idx="1">
                  <c:v>-1343.8197256851945</c:v>
                </c:pt>
                <c:pt idx="2">
                  <c:v>-1317.8594209397033</c:v>
                </c:pt>
                <c:pt idx="3">
                  <c:v>-1291.899116194212</c:v>
                </c:pt>
                <c:pt idx="4">
                  <c:v>-1265.9388114487206</c:v>
                </c:pt>
                <c:pt idx="5">
                  <c:v>-1239.9785067032292</c:v>
                </c:pt>
                <c:pt idx="6">
                  <c:v>-1214.018201957738</c:v>
                </c:pt>
                <c:pt idx="7">
                  <c:v>-1188.0578972122464</c:v>
                </c:pt>
                <c:pt idx="8">
                  <c:v>-1162.0975924667553</c:v>
                </c:pt>
                <c:pt idx="9">
                  <c:v>-1136.1372877212639</c:v>
                </c:pt>
                <c:pt idx="10">
                  <c:v>-1110.1769829757725</c:v>
                </c:pt>
                <c:pt idx="11">
                  <c:v>-1084.2166782302813</c:v>
                </c:pt>
                <c:pt idx="12">
                  <c:v>-1058.2563734847899</c:v>
                </c:pt>
                <c:pt idx="13">
                  <c:v>-1032.2960687392986</c:v>
                </c:pt>
                <c:pt idx="14">
                  <c:v>-1006.3357639938072</c:v>
                </c:pt>
                <c:pt idx="15">
                  <c:v>-980.37545924831579</c:v>
                </c:pt>
                <c:pt idx="16">
                  <c:v>-954.41515450282441</c:v>
                </c:pt>
                <c:pt idx="17">
                  <c:v>-928.45484975733302</c:v>
                </c:pt>
                <c:pt idx="18">
                  <c:v>-902.49454501184186</c:v>
                </c:pt>
                <c:pt idx="19">
                  <c:v>-876.53424026635048</c:v>
                </c:pt>
                <c:pt idx="20">
                  <c:v>-850.5739355208591</c:v>
                </c:pt>
                <c:pt idx="21">
                  <c:v>-824.61363077536771</c:v>
                </c:pt>
                <c:pt idx="22">
                  <c:v>-798.65332602987633</c:v>
                </c:pt>
                <c:pt idx="23">
                  <c:v>-772.69302128438517</c:v>
                </c:pt>
                <c:pt idx="24">
                  <c:v>-746.73271653889378</c:v>
                </c:pt>
                <c:pt idx="25">
                  <c:v>-720.7724117934024</c:v>
                </c:pt>
                <c:pt idx="26">
                  <c:v>-694.81210704791101</c:v>
                </c:pt>
                <c:pt idx="27">
                  <c:v>-668.85180230241963</c:v>
                </c:pt>
                <c:pt idx="28">
                  <c:v>-642.89149755692836</c:v>
                </c:pt>
                <c:pt idx="29">
                  <c:v>-616.93119281143709</c:v>
                </c:pt>
                <c:pt idx="30">
                  <c:v>-590.9708880659457</c:v>
                </c:pt>
                <c:pt idx="31">
                  <c:v>-565.01058332045432</c:v>
                </c:pt>
                <c:pt idx="32">
                  <c:v>-539.05027857496293</c:v>
                </c:pt>
                <c:pt idx="33">
                  <c:v>-513.08997382947166</c:v>
                </c:pt>
                <c:pt idx="34">
                  <c:v>-487.12966908398027</c:v>
                </c:pt>
                <c:pt idx="35">
                  <c:v>-461.16936433848889</c:v>
                </c:pt>
                <c:pt idx="36">
                  <c:v>-435.20905959299768</c:v>
                </c:pt>
                <c:pt idx="37">
                  <c:v>-409.24875484750629</c:v>
                </c:pt>
                <c:pt idx="38">
                  <c:v>-383.28845010201491</c:v>
                </c:pt>
                <c:pt idx="39">
                  <c:v>-357.32814535652358</c:v>
                </c:pt>
                <c:pt idx="40">
                  <c:v>-331.36784061103219</c:v>
                </c:pt>
                <c:pt idx="41">
                  <c:v>-305.40753586554086</c:v>
                </c:pt>
                <c:pt idx="42">
                  <c:v>-279.44723112004948</c:v>
                </c:pt>
                <c:pt idx="43">
                  <c:v>-253.48692637455812</c:v>
                </c:pt>
                <c:pt idx="44">
                  <c:v>-227.52662162906677</c:v>
                </c:pt>
                <c:pt idx="45">
                  <c:v>-201.56631688357564</c:v>
                </c:pt>
                <c:pt idx="46">
                  <c:v>-175.60601213808428</c:v>
                </c:pt>
                <c:pt idx="47">
                  <c:v>-149.64570739259293</c:v>
                </c:pt>
                <c:pt idx="48">
                  <c:v>-123.68540264710155</c:v>
                </c:pt>
                <c:pt idx="49">
                  <c:v>-97.725097901610198</c:v>
                </c:pt>
                <c:pt idx="50">
                  <c:v>-71.764793156118827</c:v>
                </c:pt>
                <c:pt idx="51">
                  <c:v>-45.804488410627471</c:v>
                </c:pt>
                <c:pt idx="52">
                  <c:v>-19.844183665136107</c:v>
                </c:pt>
                <c:pt idx="53">
                  <c:v>6.1161210803552528</c:v>
                </c:pt>
                <c:pt idx="54">
                  <c:v>32.076425825846613</c:v>
                </c:pt>
                <c:pt idx="55">
                  <c:v>58.036730571337976</c:v>
                </c:pt>
                <c:pt idx="56">
                  <c:v>83.99703531682934</c:v>
                </c:pt>
                <c:pt idx="57">
                  <c:v>109.9573400623207</c:v>
                </c:pt>
                <c:pt idx="58">
                  <c:v>135.91764480781183</c:v>
                </c:pt>
                <c:pt idx="59">
                  <c:v>161.87794955330318</c:v>
                </c:pt>
                <c:pt idx="60">
                  <c:v>187.83825429879454</c:v>
                </c:pt>
                <c:pt idx="61">
                  <c:v>213.79855904428592</c:v>
                </c:pt>
                <c:pt idx="62">
                  <c:v>239.75886378977728</c:v>
                </c:pt>
                <c:pt idx="63">
                  <c:v>265.71916853526864</c:v>
                </c:pt>
                <c:pt idx="64">
                  <c:v>291.67947328076002</c:v>
                </c:pt>
                <c:pt idx="65">
                  <c:v>317.63977802625135</c:v>
                </c:pt>
                <c:pt idx="66">
                  <c:v>343.60008277174273</c:v>
                </c:pt>
                <c:pt idx="67">
                  <c:v>369.56038751723406</c:v>
                </c:pt>
                <c:pt idx="68">
                  <c:v>395.52069226272545</c:v>
                </c:pt>
                <c:pt idx="69">
                  <c:v>421.48099700821678</c:v>
                </c:pt>
                <c:pt idx="70">
                  <c:v>447.44130175370816</c:v>
                </c:pt>
                <c:pt idx="71">
                  <c:v>473.40160649919932</c:v>
                </c:pt>
                <c:pt idx="72">
                  <c:v>499.36191124469065</c:v>
                </c:pt>
                <c:pt idx="73">
                  <c:v>525.32221599018203</c:v>
                </c:pt>
                <c:pt idx="74">
                  <c:v>551.28252073567342</c:v>
                </c:pt>
                <c:pt idx="75">
                  <c:v>577.24282548116469</c:v>
                </c:pt>
                <c:pt idx="76">
                  <c:v>603.20313022665607</c:v>
                </c:pt>
                <c:pt idx="77">
                  <c:v>629.16343497214746</c:v>
                </c:pt>
                <c:pt idx="78">
                  <c:v>655.12373971763884</c:v>
                </c:pt>
                <c:pt idx="79">
                  <c:v>681.08404446313023</c:v>
                </c:pt>
                <c:pt idx="80">
                  <c:v>707.0443492086215</c:v>
                </c:pt>
                <c:pt idx="81">
                  <c:v>733.00465395411265</c:v>
                </c:pt>
                <c:pt idx="82">
                  <c:v>758.96495869960427</c:v>
                </c:pt>
                <c:pt idx="83">
                  <c:v>784.92526344509542</c:v>
                </c:pt>
                <c:pt idx="84">
                  <c:v>810.88556819058704</c:v>
                </c:pt>
                <c:pt idx="85">
                  <c:v>836.84587293607808</c:v>
                </c:pt>
                <c:pt idx="86">
                  <c:v>862.80617768156969</c:v>
                </c:pt>
                <c:pt idx="87">
                  <c:v>888.76648242706085</c:v>
                </c:pt>
                <c:pt idx="88">
                  <c:v>914.72678717255246</c:v>
                </c:pt>
                <c:pt idx="89">
                  <c:v>940.68709191804351</c:v>
                </c:pt>
                <c:pt idx="90">
                  <c:v>966.64739666353466</c:v>
                </c:pt>
                <c:pt idx="91">
                  <c:v>992.60770140902628</c:v>
                </c:pt>
                <c:pt idx="92">
                  <c:v>1018.5680061545174</c:v>
                </c:pt>
                <c:pt idx="93">
                  <c:v>1044.528310900009</c:v>
                </c:pt>
                <c:pt idx="94">
                  <c:v>1070.4886156455002</c:v>
                </c:pt>
                <c:pt idx="95">
                  <c:v>1096.4489203909918</c:v>
                </c:pt>
                <c:pt idx="96">
                  <c:v>1122.4092251364827</c:v>
                </c:pt>
                <c:pt idx="97">
                  <c:v>1148.3695298819744</c:v>
                </c:pt>
                <c:pt idx="98">
                  <c:v>1174.3298346274655</c:v>
                </c:pt>
                <c:pt idx="99">
                  <c:v>1200.2901393729571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-110.69284875995191</c:v>
                </c:pt>
                <c:pt idx="1">
                  <c:v>-110.69284875995191</c:v>
                </c:pt>
                <c:pt idx="2">
                  <c:v>-110.69284875995191</c:v>
                </c:pt>
                <c:pt idx="3">
                  <c:v>-110.68222212912265</c:v>
                </c:pt>
                <c:pt idx="4">
                  <c:v>-110.59388664550882</c:v>
                </c:pt>
                <c:pt idx="5">
                  <c:v>-110.41608928991769</c:v>
                </c:pt>
                <c:pt idx="6">
                  <c:v>-110.14883006234926</c:v>
                </c:pt>
                <c:pt idx="7">
                  <c:v>-109.79210896280354</c:v>
                </c:pt>
                <c:pt idx="8">
                  <c:v>-109.34592599128051</c:v>
                </c:pt>
                <c:pt idx="9">
                  <c:v>-108.81028114778017</c:v>
                </c:pt>
                <c:pt idx="10">
                  <c:v>-108.18517443230256</c:v>
                </c:pt>
                <c:pt idx="11">
                  <c:v>-107.47060584484763</c:v>
                </c:pt>
                <c:pt idx="12">
                  <c:v>-106.6665753854154</c:v>
                </c:pt>
                <c:pt idx="13">
                  <c:v>-105.77308305400587</c:v>
                </c:pt>
                <c:pt idx="14">
                  <c:v>-104.79012885061903</c:v>
                </c:pt>
                <c:pt idx="15">
                  <c:v>-103.7177127752549</c:v>
                </c:pt>
                <c:pt idx="16">
                  <c:v>-102.55583482791346</c:v>
                </c:pt>
                <c:pt idx="17">
                  <c:v>-101.30449500859474</c:v>
                </c:pt>
                <c:pt idx="18">
                  <c:v>-99.96369331729872</c:v>
                </c:pt>
                <c:pt idx="19">
                  <c:v>-98.533429754025377</c:v>
                </c:pt>
                <c:pt idx="20">
                  <c:v>-97.013704318774742</c:v>
                </c:pt>
                <c:pt idx="21">
                  <c:v>-95.404517011546815</c:v>
                </c:pt>
                <c:pt idx="22">
                  <c:v>-93.705867832341582</c:v>
                </c:pt>
                <c:pt idx="23">
                  <c:v>-91.917756781159056</c:v>
                </c:pt>
                <c:pt idx="24">
                  <c:v>-90.040183857999224</c:v>
                </c:pt>
                <c:pt idx="25">
                  <c:v>-88.0731490628621</c:v>
                </c:pt>
                <c:pt idx="26">
                  <c:v>-86.016652395747656</c:v>
                </c:pt>
                <c:pt idx="27">
                  <c:v>-83.870693856655919</c:v>
                </c:pt>
                <c:pt idx="28">
                  <c:v>-81.635273445586876</c:v>
                </c:pt>
                <c:pt idx="29">
                  <c:v>-79.310391162540554</c:v>
                </c:pt>
                <c:pt idx="30">
                  <c:v>-76.896047007516927</c:v>
                </c:pt>
                <c:pt idx="31">
                  <c:v>-74.392240980516007</c:v>
                </c:pt>
                <c:pt idx="32">
                  <c:v>-71.798973081537753</c:v>
                </c:pt>
                <c:pt idx="33">
                  <c:v>-69.11624331058222</c:v>
                </c:pt>
                <c:pt idx="34">
                  <c:v>-66.344051667649381</c:v>
                </c:pt>
                <c:pt idx="35">
                  <c:v>-63.482398152739243</c:v>
                </c:pt>
                <c:pt idx="36">
                  <c:v>-60.53128276585182</c:v>
                </c:pt>
                <c:pt idx="37">
                  <c:v>-57.490705506987091</c:v>
                </c:pt>
                <c:pt idx="38">
                  <c:v>-54.360666376145041</c:v>
                </c:pt>
                <c:pt idx="39">
                  <c:v>-51.141165373325705</c:v>
                </c:pt>
                <c:pt idx="40">
                  <c:v>-47.832202498529071</c:v>
                </c:pt>
                <c:pt idx="41">
                  <c:v>-44.43377775175513</c:v>
                </c:pt>
                <c:pt idx="42">
                  <c:v>-40.94589113300389</c:v>
                </c:pt>
                <c:pt idx="43">
                  <c:v>-37.368542642275358</c:v>
                </c:pt>
                <c:pt idx="44">
                  <c:v>-33.701732279569512</c:v>
                </c:pt>
                <c:pt idx="45">
                  <c:v>-29.945460044886413</c:v>
                </c:pt>
                <c:pt idx="46">
                  <c:v>-26.099725938225973</c:v>
                </c:pt>
                <c:pt idx="47">
                  <c:v>-22.164529959588233</c:v>
                </c:pt>
                <c:pt idx="48">
                  <c:v>-18.139872108973197</c:v>
                </c:pt>
                <c:pt idx="49">
                  <c:v>-14.021578142469009</c:v>
                </c:pt>
                <c:pt idx="50">
                  <c:v>-9.7482916799429358</c:v>
                </c:pt>
                <c:pt idx="51">
                  <c:v>-5.2996807149599316</c:v>
                </c:pt>
                <c:pt idx="52">
                  <c:v>-0.67574524751999299</c:v>
                </c:pt>
                <c:pt idx="53">
                  <c:v>4.1235147223768758</c:v>
                </c:pt>
                <c:pt idx="54">
                  <c:v>9.0980991947306773</c:v>
                </c:pt>
                <c:pt idx="55">
                  <c:v>14.248008169541412</c:v>
                </c:pt>
                <c:pt idx="56">
                  <c:v>19.573241646809077</c:v>
                </c:pt>
                <c:pt idx="57">
                  <c:v>25.073799626533678</c:v>
                </c:pt>
                <c:pt idx="58">
                  <c:v>30.749682108715156</c:v>
                </c:pt>
                <c:pt idx="59">
                  <c:v>36.600889093353622</c:v>
                </c:pt>
                <c:pt idx="60">
                  <c:v>42.627420580449012</c:v>
                </c:pt>
                <c:pt idx="61">
                  <c:v>48.82927657000134</c:v>
                </c:pt>
                <c:pt idx="62">
                  <c:v>55.2064570620106</c:v>
                </c:pt>
                <c:pt idx="63">
                  <c:v>61.75896205647679</c:v>
                </c:pt>
                <c:pt idx="64">
                  <c:v>68.486791553399911</c:v>
                </c:pt>
                <c:pt idx="65">
                  <c:v>75.389945552779963</c:v>
                </c:pt>
                <c:pt idx="66">
                  <c:v>82.468424054616946</c:v>
                </c:pt>
                <c:pt idx="67">
                  <c:v>89.722227058910875</c:v>
                </c:pt>
                <c:pt idx="68">
                  <c:v>97.151354565661734</c:v>
                </c:pt>
                <c:pt idx="69">
                  <c:v>104.75580657486951</c:v>
                </c:pt>
                <c:pt idx="70">
                  <c:v>112.53558308653422</c:v>
                </c:pt>
                <c:pt idx="71">
                  <c:v>120.4906841006558</c:v>
                </c:pt>
                <c:pt idx="72">
                  <c:v>128.62110961723437</c:v>
                </c:pt>
                <c:pt idx="73">
                  <c:v>136.92685963626988</c:v>
                </c:pt>
                <c:pt idx="74">
                  <c:v>145.40793415776233</c:v>
                </c:pt>
                <c:pt idx="75">
                  <c:v>154.0643331817117</c:v>
                </c:pt>
                <c:pt idx="76">
                  <c:v>162.89605670811801</c:v>
                </c:pt>
                <c:pt idx="77">
                  <c:v>171.90310473698125</c:v>
                </c:pt>
                <c:pt idx="78">
                  <c:v>181.08547726830145</c:v>
                </c:pt>
                <c:pt idx="79">
                  <c:v>190.44317430207855</c:v>
                </c:pt>
                <c:pt idx="80">
                  <c:v>199.97619583831255</c:v>
                </c:pt>
                <c:pt idx="81">
                  <c:v>209.68454187700345</c:v>
                </c:pt>
                <c:pt idx="82">
                  <c:v>219.56821241815143</c:v>
                </c:pt>
                <c:pt idx="83">
                  <c:v>229.62720746175617</c:v>
                </c:pt>
                <c:pt idx="84">
                  <c:v>239.86152700781804</c:v>
                </c:pt>
                <c:pt idx="85">
                  <c:v>250.27117105633664</c:v>
                </c:pt>
                <c:pt idx="86">
                  <c:v>260.8561396073124</c:v>
                </c:pt>
                <c:pt idx="87">
                  <c:v>271.61643266074486</c:v>
                </c:pt>
                <c:pt idx="88">
                  <c:v>282.55205021663448</c:v>
                </c:pt>
                <c:pt idx="89">
                  <c:v>293.66299227498081</c:v>
                </c:pt>
                <c:pt idx="90">
                  <c:v>304.94925883578401</c:v>
                </c:pt>
                <c:pt idx="91">
                  <c:v>316.41084989904448</c:v>
                </c:pt>
                <c:pt idx="92">
                  <c:v>328.04776546476154</c:v>
                </c:pt>
                <c:pt idx="93">
                  <c:v>339.86000553293587</c:v>
                </c:pt>
                <c:pt idx="94">
                  <c:v>351.8475701035668</c:v>
                </c:pt>
                <c:pt idx="95">
                  <c:v>364.01045917665493</c:v>
                </c:pt>
                <c:pt idx="96">
                  <c:v>376.34867275219978</c:v>
                </c:pt>
                <c:pt idx="97">
                  <c:v>388.86221083020178</c:v>
                </c:pt>
                <c:pt idx="98">
                  <c:v>401.55107341066054</c:v>
                </c:pt>
                <c:pt idx="99">
                  <c:v>414.41526049357628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-1369.7800304306859</c:v>
                </c:pt>
                <c:pt idx="1">
                  <c:v>-1343.8197256851945</c:v>
                </c:pt>
                <c:pt idx="2">
                  <c:v>-1317.8594209397033</c:v>
                </c:pt>
                <c:pt idx="3">
                  <c:v>-1291.899116194212</c:v>
                </c:pt>
                <c:pt idx="4">
                  <c:v>-1265.9388114487206</c:v>
                </c:pt>
                <c:pt idx="5">
                  <c:v>-1239.9785067032292</c:v>
                </c:pt>
                <c:pt idx="6">
                  <c:v>-1214.018201957738</c:v>
                </c:pt>
                <c:pt idx="7">
                  <c:v>-1188.0578972122464</c:v>
                </c:pt>
                <c:pt idx="8">
                  <c:v>-1162.0975924667553</c:v>
                </c:pt>
                <c:pt idx="9">
                  <c:v>-1136.1372877212639</c:v>
                </c:pt>
                <c:pt idx="10">
                  <c:v>-1110.1769829757725</c:v>
                </c:pt>
                <c:pt idx="11">
                  <c:v>-1084.2166782302813</c:v>
                </c:pt>
                <c:pt idx="12">
                  <c:v>-1058.2563734847899</c:v>
                </c:pt>
                <c:pt idx="13">
                  <c:v>-1032.2960687392986</c:v>
                </c:pt>
                <c:pt idx="14">
                  <c:v>-1006.3357639938072</c:v>
                </c:pt>
                <c:pt idx="15">
                  <c:v>-980.37545924831579</c:v>
                </c:pt>
                <c:pt idx="16">
                  <c:v>-954.41515450282441</c:v>
                </c:pt>
                <c:pt idx="17">
                  <c:v>-928.45484975733302</c:v>
                </c:pt>
                <c:pt idx="18">
                  <c:v>-902.49454501184186</c:v>
                </c:pt>
                <c:pt idx="19">
                  <c:v>-876.53424026635048</c:v>
                </c:pt>
                <c:pt idx="20">
                  <c:v>-850.5739355208591</c:v>
                </c:pt>
                <c:pt idx="21">
                  <c:v>-824.61363077536771</c:v>
                </c:pt>
                <c:pt idx="22">
                  <c:v>-798.65332602987633</c:v>
                </c:pt>
                <c:pt idx="23">
                  <c:v>-772.69302128438517</c:v>
                </c:pt>
                <c:pt idx="24">
                  <c:v>-746.73271653889378</c:v>
                </c:pt>
                <c:pt idx="25">
                  <c:v>-720.7724117934024</c:v>
                </c:pt>
                <c:pt idx="26">
                  <c:v>-694.81210704791101</c:v>
                </c:pt>
                <c:pt idx="27">
                  <c:v>-668.85180230241963</c:v>
                </c:pt>
                <c:pt idx="28">
                  <c:v>-642.89149755692836</c:v>
                </c:pt>
                <c:pt idx="29">
                  <c:v>-616.93119281143709</c:v>
                </c:pt>
                <c:pt idx="30">
                  <c:v>-590.9708880659457</c:v>
                </c:pt>
                <c:pt idx="31">
                  <c:v>-565.01058332045432</c:v>
                </c:pt>
                <c:pt idx="32">
                  <c:v>-539.05027857496293</c:v>
                </c:pt>
                <c:pt idx="33">
                  <c:v>-513.08997382947166</c:v>
                </c:pt>
                <c:pt idx="34">
                  <c:v>-487.12966908398027</c:v>
                </c:pt>
                <c:pt idx="35">
                  <c:v>-461.16936433848889</c:v>
                </c:pt>
                <c:pt idx="36">
                  <c:v>-435.20905959299768</c:v>
                </c:pt>
                <c:pt idx="37">
                  <c:v>-409.24875484750629</c:v>
                </c:pt>
                <c:pt idx="38">
                  <c:v>-383.28845010201491</c:v>
                </c:pt>
                <c:pt idx="39">
                  <c:v>-357.32814535652358</c:v>
                </c:pt>
                <c:pt idx="40">
                  <c:v>-331.36784061103219</c:v>
                </c:pt>
                <c:pt idx="41">
                  <c:v>-305.40753586554086</c:v>
                </c:pt>
                <c:pt idx="42">
                  <c:v>-279.44723112004948</c:v>
                </c:pt>
                <c:pt idx="43">
                  <c:v>-253.48692637455812</c:v>
                </c:pt>
                <c:pt idx="44">
                  <c:v>-227.52662162906677</c:v>
                </c:pt>
                <c:pt idx="45">
                  <c:v>-201.56631688357564</c:v>
                </c:pt>
                <c:pt idx="46">
                  <c:v>-175.60601213808428</c:v>
                </c:pt>
                <c:pt idx="47">
                  <c:v>-149.64570739259293</c:v>
                </c:pt>
                <c:pt idx="48">
                  <c:v>-123.68540264710155</c:v>
                </c:pt>
                <c:pt idx="49">
                  <c:v>-97.725097901610198</c:v>
                </c:pt>
                <c:pt idx="50">
                  <c:v>-71.764793156118827</c:v>
                </c:pt>
                <c:pt idx="51">
                  <c:v>-45.804488410627471</c:v>
                </c:pt>
                <c:pt idx="52">
                  <c:v>-19.844183665136107</c:v>
                </c:pt>
                <c:pt idx="53">
                  <c:v>6.1161210803552528</c:v>
                </c:pt>
                <c:pt idx="54">
                  <c:v>32.076425825846613</c:v>
                </c:pt>
                <c:pt idx="55">
                  <c:v>58.036730571337976</c:v>
                </c:pt>
                <c:pt idx="56">
                  <c:v>83.99703531682934</c:v>
                </c:pt>
                <c:pt idx="57">
                  <c:v>109.9573400623207</c:v>
                </c:pt>
                <c:pt idx="58">
                  <c:v>135.91764480781183</c:v>
                </c:pt>
                <c:pt idx="59">
                  <c:v>161.87794955330318</c:v>
                </c:pt>
                <c:pt idx="60">
                  <c:v>187.83825429879454</c:v>
                </c:pt>
                <c:pt idx="61">
                  <c:v>213.79855904428592</c:v>
                </c:pt>
                <c:pt idx="62">
                  <c:v>239.75886378977728</c:v>
                </c:pt>
                <c:pt idx="63">
                  <c:v>265.71916853526864</c:v>
                </c:pt>
                <c:pt idx="64">
                  <c:v>291.67947328076002</c:v>
                </c:pt>
                <c:pt idx="65">
                  <c:v>317.63977802625135</c:v>
                </c:pt>
                <c:pt idx="66">
                  <c:v>343.60008277174273</c:v>
                </c:pt>
                <c:pt idx="67">
                  <c:v>369.56038751723406</c:v>
                </c:pt>
                <c:pt idx="68">
                  <c:v>395.52069226272545</c:v>
                </c:pt>
                <c:pt idx="69">
                  <c:v>421.48099700821678</c:v>
                </c:pt>
                <c:pt idx="70">
                  <c:v>447.44130175370816</c:v>
                </c:pt>
                <c:pt idx="71">
                  <c:v>473.40160649919932</c:v>
                </c:pt>
                <c:pt idx="72">
                  <c:v>499.36191124469065</c:v>
                </c:pt>
                <c:pt idx="73">
                  <c:v>525.32221599018203</c:v>
                </c:pt>
                <c:pt idx="74">
                  <c:v>551.28252073567342</c:v>
                </c:pt>
                <c:pt idx="75">
                  <c:v>577.24282548116469</c:v>
                </c:pt>
                <c:pt idx="76">
                  <c:v>603.20313022665607</c:v>
                </c:pt>
                <c:pt idx="77">
                  <c:v>629.16343497214746</c:v>
                </c:pt>
                <c:pt idx="78">
                  <c:v>655.12373971763884</c:v>
                </c:pt>
                <c:pt idx="79">
                  <c:v>681.08404446313023</c:v>
                </c:pt>
                <c:pt idx="80">
                  <c:v>707.0443492086215</c:v>
                </c:pt>
                <c:pt idx="81">
                  <c:v>733.00465395411265</c:v>
                </c:pt>
                <c:pt idx="82">
                  <c:v>758.96495869960427</c:v>
                </c:pt>
                <c:pt idx="83">
                  <c:v>784.92526344509542</c:v>
                </c:pt>
                <c:pt idx="84">
                  <c:v>810.88556819058704</c:v>
                </c:pt>
                <c:pt idx="85">
                  <c:v>836.84587293607808</c:v>
                </c:pt>
                <c:pt idx="86">
                  <c:v>862.80617768156969</c:v>
                </c:pt>
                <c:pt idx="87">
                  <c:v>888.76648242706085</c:v>
                </c:pt>
                <c:pt idx="88">
                  <c:v>914.72678717255246</c:v>
                </c:pt>
                <c:pt idx="89">
                  <c:v>940.68709191804351</c:v>
                </c:pt>
                <c:pt idx="90">
                  <c:v>966.64739666353466</c:v>
                </c:pt>
                <c:pt idx="91">
                  <c:v>992.60770140902628</c:v>
                </c:pt>
                <c:pt idx="92">
                  <c:v>1018.5680061545174</c:v>
                </c:pt>
                <c:pt idx="93">
                  <c:v>1044.528310900009</c:v>
                </c:pt>
                <c:pt idx="94">
                  <c:v>1070.4886156455002</c:v>
                </c:pt>
                <c:pt idx="95">
                  <c:v>1096.4489203909918</c:v>
                </c:pt>
                <c:pt idx="96">
                  <c:v>1122.4092251364827</c:v>
                </c:pt>
                <c:pt idx="97">
                  <c:v>1148.3695298819744</c:v>
                </c:pt>
                <c:pt idx="98">
                  <c:v>1174.3298346274655</c:v>
                </c:pt>
                <c:pt idx="99">
                  <c:v>1200.2901393729571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897.67465600710159</c:v>
                </c:pt>
                <c:pt idx="1">
                  <c:v>897.67465600710159</c:v>
                </c:pt>
                <c:pt idx="2">
                  <c:v>897.67465600710159</c:v>
                </c:pt>
                <c:pt idx="3">
                  <c:v>897.67803485328182</c:v>
                </c:pt>
                <c:pt idx="4">
                  <c:v>897.70612202561074</c:v>
                </c:pt>
                <c:pt idx="5">
                  <c:v>897.76265451699294</c:v>
                </c:pt>
                <c:pt idx="6">
                  <c:v>897.84763232742819</c:v>
                </c:pt>
                <c:pt idx="7">
                  <c:v>897.9610554569166</c:v>
                </c:pt>
                <c:pt idx="8">
                  <c:v>898.10292390545806</c:v>
                </c:pt>
                <c:pt idx="9">
                  <c:v>898.27323767305256</c:v>
                </c:pt>
                <c:pt idx="10">
                  <c:v>898.47199675970023</c:v>
                </c:pt>
                <c:pt idx="11">
                  <c:v>898.69920116540106</c:v>
                </c:pt>
                <c:pt idx="12">
                  <c:v>898.95485089015483</c:v>
                </c:pt>
                <c:pt idx="13">
                  <c:v>899.23894593396187</c:v>
                </c:pt>
                <c:pt idx="14">
                  <c:v>899.55148629682185</c:v>
                </c:pt>
                <c:pt idx="15">
                  <c:v>899.8924719787351</c:v>
                </c:pt>
                <c:pt idx="16">
                  <c:v>900.2619029797014</c:v>
                </c:pt>
                <c:pt idx="17">
                  <c:v>900.65977929972075</c:v>
                </c:pt>
                <c:pt idx="18">
                  <c:v>901.08610093879327</c:v>
                </c:pt>
                <c:pt idx="19">
                  <c:v>901.54086789691883</c:v>
                </c:pt>
                <c:pt idx="20">
                  <c:v>902.02408017409743</c:v>
                </c:pt>
                <c:pt idx="21">
                  <c:v>902.53573777032921</c:v>
                </c:pt>
                <c:pt idx="22">
                  <c:v>903.07584068561414</c:v>
                </c:pt>
                <c:pt idx="23">
                  <c:v>903.64438891995223</c:v>
                </c:pt>
                <c:pt idx="24">
                  <c:v>904.24138247334326</c:v>
                </c:pt>
                <c:pt idx="25">
                  <c:v>904.86682134578746</c:v>
                </c:pt>
                <c:pt idx="26">
                  <c:v>905.5207055372847</c:v>
                </c:pt>
                <c:pt idx="27">
                  <c:v>906.20303504783521</c:v>
                </c:pt>
                <c:pt idx="28">
                  <c:v>906.91380987743867</c:v>
                </c:pt>
                <c:pt idx="29">
                  <c:v>907.65303002609517</c:v>
                </c:pt>
                <c:pt idx="30">
                  <c:v>908.42069549380494</c:v>
                </c:pt>
                <c:pt idx="31">
                  <c:v>909.21680628056777</c:v>
                </c:pt>
                <c:pt idx="32">
                  <c:v>910.04136238638375</c:v>
                </c:pt>
                <c:pt idx="33">
                  <c:v>910.89436381125279</c:v>
                </c:pt>
                <c:pt idx="34">
                  <c:v>911.77581055517487</c:v>
                </c:pt>
                <c:pt idx="35">
                  <c:v>912.68570261815</c:v>
                </c:pt>
                <c:pt idx="36">
                  <c:v>913.62404000017841</c:v>
                </c:pt>
                <c:pt idx="37">
                  <c:v>914.59082270125987</c:v>
                </c:pt>
                <c:pt idx="38">
                  <c:v>915.58605072139437</c:v>
                </c:pt>
                <c:pt idx="39">
                  <c:v>916.60972406058204</c:v>
                </c:pt>
                <c:pt idx="40">
                  <c:v>917.66184271882275</c:v>
                </c:pt>
                <c:pt idx="41">
                  <c:v>918.74240669611652</c:v>
                </c:pt>
                <c:pt idx="42">
                  <c:v>919.85141599246356</c:v>
                </c:pt>
                <c:pt idx="43">
                  <c:v>920.98887060786353</c:v>
                </c:pt>
                <c:pt idx="44">
                  <c:v>922.15477054231667</c:v>
                </c:pt>
                <c:pt idx="45">
                  <c:v>923.34911579582297</c:v>
                </c:pt>
                <c:pt idx="46">
                  <c:v>924.57190636838232</c:v>
                </c:pt>
                <c:pt idx="47">
                  <c:v>925.82314225999471</c:v>
                </c:pt>
                <c:pt idx="48">
                  <c:v>927.10282347066038</c:v>
                </c:pt>
                <c:pt idx="49">
                  <c:v>928.41665839989298</c:v>
                </c:pt>
                <c:pt idx="50">
                  <c:v>929.84855367555735</c:v>
                </c:pt>
                <c:pt idx="51">
                  <c:v>931.42631390565032</c:v>
                </c:pt>
                <c:pt idx="52">
                  <c:v>933.14993909017176</c:v>
                </c:pt>
                <c:pt idx="53">
                  <c:v>935.01942922912156</c:v>
                </c:pt>
                <c:pt idx="54">
                  <c:v>937.03478432249983</c:v>
                </c:pt>
                <c:pt idx="55">
                  <c:v>939.1960043703067</c:v>
                </c:pt>
                <c:pt idx="56">
                  <c:v>941.50308937254204</c:v>
                </c:pt>
                <c:pt idx="57">
                  <c:v>943.95603932920585</c:v>
                </c:pt>
                <c:pt idx="58">
                  <c:v>946.55485424029814</c:v>
                </c:pt>
                <c:pt idx="59">
                  <c:v>949.29953410581891</c:v>
                </c:pt>
                <c:pt idx="60">
                  <c:v>952.19007892576826</c:v>
                </c:pt>
                <c:pt idx="61">
                  <c:v>955.22648870014598</c:v>
                </c:pt>
                <c:pt idx="62">
                  <c:v>958.40876342895228</c:v>
                </c:pt>
                <c:pt idx="63">
                  <c:v>961.73690311218706</c:v>
                </c:pt>
                <c:pt idx="64">
                  <c:v>965.21090774985032</c:v>
                </c:pt>
                <c:pt idx="65">
                  <c:v>968.83077734194205</c:v>
                </c:pt>
                <c:pt idx="66">
                  <c:v>972.59651188846226</c:v>
                </c:pt>
                <c:pt idx="67">
                  <c:v>976.50811138941106</c:v>
                </c:pt>
                <c:pt idx="68">
                  <c:v>980.56557584478821</c:v>
                </c:pt>
                <c:pt idx="69">
                  <c:v>984.76890525459396</c:v>
                </c:pt>
                <c:pt idx="70">
                  <c:v>989.11809961882807</c:v>
                </c:pt>
                <c:pt idx="71">
                  <c:v>993.61315893749077</c:v>
                </c:pt>
                <c:pt idx="72">
                  <c:v>998.25408321058194</c:v>
                </c:pt>
                <c:pt idx="73">
                  <c:v>1003.0408724381016</c:v>
                </c:pt>
                <c:pt idx="74">
                  <c:v>1007.9735266200497</c:v>
                </c:pt>
                <c:pt idx="75">
                  <c:v>1013.0520457564263</c:v>
                </c:pt>
                <c:pt idx="76">
                  <c:v>1018.2764298472315</c:v>
                </c:pt>
                <c:pt idx="77">
                  <c:v>1023.646678892465</c:v>
                </c:pt>
                <c:pt idx="78">
                  <c:v>1029.1627928921271</c:v>
                </c:pt>
                <c:pt idx="79">
                  <c:v>1034.8247718462178</c:v>
                </c:pt>
                <c:pt idx="80">
                  <c:v>1040.6326157547369</c:v>
                </c:pt>
                <c:pt idx="81">
                  <c:v>1046.5863246176843</c:v>
                </c:pt>
                <c:pt idx="82">
                  <c:v>1052.6858984350606</c:v>
                </c:pt>
                <c:pt idx="83">
                  <c:v>1058.931337206865</c:v>
                </c:pt>
                <c:pt idx="84">
                  <c:v>1065.3226409330982</c:v>
                </c:pt>
                <c:pt idx="85">
                  <c:v>1071.8598096137596</c:v>
                </c:pt>
                <c:pt idx="86">
                  <c:v>1078.5428432488497</c:v>
                </c:pt>
                <c:pt idx="87">
                  <c:v>1085.3717418383681</c:v>
                </c:pt>
                <c:pt idx="88">
                  <c:v>1092.3465053823152</c:v>
                </c:pt>
                <c:pt idx="89">
                  <c:v>1099.4671338806907</c:v>
                </c:pt>
                <c:pt idx="90">
                  <c:v>1106.7336273334945</c:v>
                </c:pt>
                <c:pt idx="91">
                  <c:v>1114.1459857407272</c:v>
                </c:pt>
                <c:pt idx="92">
                  <c:v>1121.7042091023879</c:v>
                </c:pt>
                <c:pt idx="93">
                  <c:v>1129.4082974184776</c:v>
                </c:pt>
                <c:pt idx="94">
                  <c:v>1137.2582506889955</c:v>
                </c:pt>
                <c:pt idx="95">
                  <c:v>1145.2540689139419</c:v>
                </c:pt>
                <c:pt idx="96">
                  <c:v>1153.3957520933168</c:v>
                </c:pt>
                <c:pt idx="97">
                  <c:v>1161.6833002271203</c:v>
                </c:pt>
                <c:pt idx="98">
                  <c:v>1170.1167133153522</c:v>
                </c:pt>
                <c:pt idx="99">
                  <c:v>1178.6959913580126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-1352.6497557730243</c:v>
                </c:pt>
                <c:pt idx="1">
                  <c:v>-1326.7692362231035</c:v>
                </c:pt>
                <c:pt idx="2">
                  <c:v>-1300.8887166731829</c:v>
                </c:pt>
                <c:pt idx="3">
                  <c:v>-1275.0081971232621</c:v>
                </c:pt>
                <c:pt idx="4">
                  <c:v>-1249.1276775733415</c:v>
                </c:pt>
                <c:pt idx="5">
                  <c:v>-1223.247158023421</c:v>
                </c:pt>
                <c:pt idx="6">
                  <c:v>-1197.3666384735002</c:v>
                </c:pt>
                <c:pt idx="7">
                  <c:v>-1171.4861189235796</c:v>
                </c:pt>
                <c:pt idx="8">
                  <c:v>-1145.6055993736588</c:v>
                </c:pt>
                <c:pt idx="9">
                  <c:v>-1119.7250798237383</c:v>
                </c:pt>
                <c:pt idx="10">
                  <c:v>-1093.8445602738177</c:v>
                </c:pt>
                <c:pt idx="11">
                  <c:v>-1067.9640407238971</c:v>
                </c:pt>
                <c:pt idx="12">
                  <c:v>-1042.0835211739764</c:v>
                </c:pt>
                <c:pt idx="13">
                  <c:v>-1016.2030016240557</c:v>
                </c:pt>
                <c:pt idx="14">
                  <c:v>-990.322482074135</c:v>
                </c:pt>
                <c:pt idx="15">
                  <c:v>-964.44196252421432</c:v>
                </c:pt>
                <c:pt idx="16">
                  <c:v>-938.56144297429375</c:v>
                </c:pt>
                <c:pt idx="17">
                  <c:v>-912.68092342437319</c:v>
                </c:pt>
                <c:pt idx="18">
                  <c:v>-886.80040387445251</c:v>
                </c:pt>
                <c:pt idx="19">
                  <c:v>-860.91988432453172</c:v>
                </c:pt>
                <c:pt idx="20">
                  <c:v>-835.03936477461104</c:v>
                </c:pt>
                <c:pt idx="21">
                  <c:v>-809.15884522469048</c:v>
                </c:pt>
                <c:pt idx="22">
                  <c:v>-783.2783256747698</c:v>
                </c:pt>
                <c:pt idx="23">
                  <c:v>-757.39780612484913</c:v>
                </c:pt>
                <c:pt idx="24">
                  <c:v>-731.51728657492856</c:v>
                </c:pt>
                <c:pt idx="25">
                  <c:v>-705.63676702500788</c:v>
                </c:pt>
                <c:pt idx="26">
                  <c:v>-679.75624747508721</c:v>
                </c:pt>
                <c:pt idx="27">
                  <c:v>-653.87572792516653</c:v>
                </c:pt>
                <c:pt idx="28">
                  <c:v>-627.99520837524597</c:v>
                </c:pt>
                <c:pt idx="29">
                  <c:v>-602.11468882532517</c:v>
                </c:pt>
                <c:pt idx="30">
                  <c:v>-576.2341692754045</c:v>
                </c:pt>
                <c:pt idx="31">
                  <c:v>-550.35364972548393</c:v>
                </c:pt>
                <c:pt idx="32">
                  <c:v>-524.47313017556326</c:v>
                </c:pt>
                <c:pt idx="33">
                  <c:v>-498.59261062564258</c:v>
                </c:pt>
                <c:pt idx="34">
                  <c:v>-472.71209107572201</c:v>
                </c:pt>
                <c:pt idx="35">
                  <c:v>-446.83157152580134</c:v>
                </c:pt>
                <c:pt idx="36">
                  <c:v>-420.95105197588066</c:v>
                </c:pt>
                <c:pt idx="37">
                  <c:v>-395.07053242596004</c:v>
                </c:pt>
                <c:pt idx="38">
                  <c:v>-369.19001287603936</c:v>
                </c:pt>
                <c:pt idx="39">
                  <c:v>-343.30949332611868</c:v>
                </c:pt>
                <c:pt idx="40">
                  <c:v>-317.42897377619801</c:v>
                </c:pt>
                <c:pt idx="41">
                  <c:v>-291.54845422627733</c:v>
                </c:pt>
                <c:pt idx="42">
                  <c:v>-265.66793467635682</c:v>
                </c:pt>
                <c:pt idx="43">
                  <c:v>-239.78741512643614</c:v>
                </c:pt>
                <c:pt idx="44">
                  <c:v>-213.90689557651547</c:v>
                </c:pt>
                <c:pt idx="45">
                  <c:v>-188.02637602659479</c:v>
                </c:pt>
                <c:pt idx="46">
                  <c:v>-162.14585647667408</c:v>
                </c:pt>
                <c:pt idx="47">
                  <c:v>-136.26533692675341</c:v>
                </c:pt>
                <c:pt idx="48">
                  <c:v>-110.38481737683294</c:v>
                </c:pt>
                <c:pt idx="49">
                  <c:v>-84.50429782691225</c:v>
                </c:pt>
                <c:pt idx="50">
                  <c:v>-58.623778276991565</c:v>
                </c:pt>
                <c:pt idx="51">
                  <c:v>-32.743258727070874</c:v>
                </c:pt>
                <c:pt idx="52">
                  <c:v>-6.8627391771501864</c:v>
                </c:pt>
                <c:pt idx="53">
                  <c:v>19.017780372770503</c:v>
                </c:pt>
                <c:pt idx="54">
                  <c:v>44.898299922691194</c:v>
                </c:pt>
                <c:pt idx="55">
                  <c:v>70.778819472611644</c:v>
                </c:pt>
                <c:pt idx="56">
                  <c:v>96.659339022532336</c:v>
                </c:pt>
                <c:pt idx="57">
                  <c:v>122.53985857245303</c:v>
                </c:pt>
                <c:pt idx="58">
                  <c:v>148.42037812237371</c:v>
                </c:pt>
                <c:pt idx="59">
                  <c:v>174.30089767229441</c:v>
                </c:pt>
                <c:pt idx="60">
                  <c:v>200.18141722221509</c:v>
                </c:pt>
                <c:pt idx="61">
                  <c:v>226.06193677213554</c:v>
                </c:pt>
                <c:pt idx="62">
                  <c:v>251.94245632205624</c:v>
                </c:pt>
                <c:pt idx="63">
                  <c:v>277.82297587197695</c:v>
                </c:pt>
                <c:pt idx="64">
                  <c:v>303.70349542189763</c:v>
                </c:pt>
                <c:pt idx="65">
                  <c:v>329.58401497181831</c:v>
                </c:pt>
                <c:pt idx="66">
                  <c:v>355.46453452173898</c:v>
                </c:pt>
                <c:pt idx="67">
                  <c:v>381.34505407165966</c:v>
                </c:pt>
                <c:pt idx="68">
                  <c:v>407.22557362158017</c:v>
                </c:pt>
                <c:pt idx="69">
                  <c:v>433.10609317150085</c:v>
                </c:pt>
                <c:pt idx="70">
                  <c:v>458.98661272142152</c:v>
                </c:pt>
                <c:pt idx="71">
                  <c:v>484.8671322713422</c:v>
                </c:pt>
                <c:pt idx="72">
                  <c:v>510.74765182126288</c:v>
                </c:pt>
                <c:pt idx="73">
                  <c:v>536.62817137118361</c:v>
                </c:pt>
                <c:pt idx="74">
                  <c:v>562.50869092110406</c:v>
                </c:pt>
                <c:pt idx="75">
                  <c:v>588.38921047102474</c:v>
                </c:pt>
                <c:pt idx="76">
                  <c:v>614.26973002094542</c:v>
                </c:pt>
                <c:pt idx="77">
                  <c:v>640.15024957086609</c:v>
                </c:pt>
                <c:pt idx="78">
                  <c:v>666.03076912078677</c:v>
                </c:pt>
                <c:pt idx="79">
                  <c:v>691.91128867070745</c:v>
                </c:pt>
                <c:pt idx="80">
                  <c:v>717.79180822062813</c:v>
                </c:pt>
                <c:pt idx="81">
                  <c:v>743.67232777054869</c:v>
                </c:pt>
                <c:pt idx="82">
                  <c:v>769.5528473204696</c:v>
                </c:pt>
                <c:pt idx="83">
                  <c:v>795.43336687039027</c:v>
                </c:pt>
                <c:pt idx="84">
                  <c:v>821.3138864203105</c:v>
                </c:pt>
                <c:pt idx="85">
                  <c:v>847.19440597023117</c:v>
                </c:pt>
                <c:pt idx="86">
                  <c:v>873.07492552015185</c:v>
                </c:pt>
                <c:pt idx="87">
                  <c:v>898.95544507007253</c:v>
                </c:pt>
                <c:pt idx="88">
                  <c:v>924.83596461999321</c:v>
                </c:pt>
                <c:pt idx="89">
                  <c:v>950.71648416991388</c:v>
                </c:pt>
                <c:pt idx="90">
                  <c:v>976.59700371983456</c:v>
                </c:pt>
                <c:pt idx="91">
                  <c:v>1002.4775232697554</c:v>
                </c:pt>
                <c:pt idx="92">
                  <c:v>1028.358042819676</c:v>
                </c:pt>
                <c:pt idx="93">
                  <c:v>1054.2385623695966</c:v>
                </c:pt>
                <c:pt idx="94">
                  <c:v>1080.1190819195174</c:v>
                </c:pt>
                <c:pt idx="95">
                  <c:v>1105.9996014694379</c:v>
                </c:pt>
                <c:pt idx="96">
                  <c:v>1131.8801210193583</c:v>
                </c:pt>
                <c:pt idx="97">
                  <c:v>1157.7606405692791</c:v>
                </c:pt>
                <c:pt idx="98">
                  <c:v>1183.6411601191996</c:v>
                </c:pt>
                <c:pt idx="99">
                  <c:v>1209.5216796691204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-108.60169454332595</c:v>
                </c:pt>
                <c:pt idx="1">
                  <c:v>-108.60169454332595</c:v>
                </c:pt>
                <c:pt idx="2">
                  <c:v>-108.60169454332595</c:v>
                </c:pt>
                <c:pt idx="3">
                  <c:v>-108.59000505007997</c:v>
                </c:pt>
                <c:pt idx="4">
                  <c:v>-108.49953529281716</c:v>
                </c:pt>
                <c:pt idx="5">
                  <c:v>-108.31959625754415</c:v>
                </c:pt>
                <c:pt idx="6">
                  <c:v>-108.0501879442609</c:v>
                </c:pt>
                <c:pt idx="7">
                  <c:v>-107.69131035296746</c:v>
                </c:pt>
                <c:pt idx="8">
                  <c:v>-107.2429634836638</c:v>
                </c:pt>
                <c:pt idx="9">
                  <c:v>-106.70514733634994</c:v>
                </c:pt>
                <c:pt idx="10">
                  <c:v>-106.07786191102585</c:v>
                </c:pt>
                <c:pt idx="11">
                  <c:v>-105.36110720769156</c:v>
                </c:pt>
                <c:pt idx="12">
                  <c:v>-104.55488322634703</c:v>
                </c:pt>
                <c:pt idx="13">
                  <c:v>-103.65918996699232</c:v>
                </c:pt>
                <c:pt idx="14">
                  <c:v>-102.67402742962739</c:v>
                </c:pt>
                <c:pt idx="15">
                  <c:v>-101.59939561425224</c:v>
                </c:pt>
                <c:pt idx="16">
                  <c:v>-100.43529452086689</c:v>
                </c:pt>
                <c:pt idx="17">
                  <c:v>-99.181724149471322</c:v>
                </c:pt>
                <c:pt idx="18">
                  <c:v>-97.838684500065526</c:v>
                </c:pt>
                <c:pt idx="19">
                  <c:v>-96.406175572649531</c:v>
                </c:pt>
                <c:pt idx="20">
                  <c:v>-94.884197367223322</c:v>
                </c:pt>
                <c:pt idx="21">
                  <c:v>-93.272749883786915</c:v>
                </c:pt>
                <c:pt idx="22">
                  <c:v>-91.571833122340266</c:v>
                </c:pt>
                <c:pt idx="23">
                  <c:v>-89.781447082883432</c:v>
                </c:pt>
                <c:pt idx="24">
                  <c:v>-87.901591765416384</c:v>
                </c:pt>
                <c:pt idx="25">
                  <c:v>-85.932267169939109</c:v>
                </c:pt>
                <c:pt idx="26">
                  <c:v>-83.873473296451635</c:v>
                </c:pt>
                <c:pt idx="27">
                  <c:v>-81.725210144953934</c:v>
                </c:pt>
                <c:pt idx="28">
                  <c:v>-79.487477715446033</c:v>
                </c:pt>
                <c:pt idx="29">
                  <c:v>-77.160276007927905</c:v>
                </c:pt>
                <c:pt idx="30">
                  <c:v>-74.743605022399564</c:v>
                </c:pt>
                <c:pt idx="31">
                  <c:v>-72.237464758861037</c:v>
                </c:pt>
                <c:pt idx="32">
                  <c:v>-69.641855217312269</c:v>
                </c:pt>
                <c:pt idx="33">
                  <c:v>-66.956776397753302</c:v>
                </c:pt>
                <c:pt idx="34">
                  <c:v>-64.182228300184136</c:v>
                </c:pt>
                <c:pt idx="35">
                  <c:v>-61.318210924604735</c:v>
                </c:pt>
                <c:pt idx="36">
                  <c:v>-58.36472427101512</c:v>
                </c:pt>
                <c:pt idx="37">
                  <c:v>-55.321768339415307</c:v>
                </c:pt>
                <c:pt idx="38">
                  <c:v>-52.189343129805273</c:v>
                </c:pt>
                <c:pt idx="39">
                  <c:v>-48.967448642185033</c:v>
                </c:pt>
                <c:pt idx="40">
                  <c:v>-45.656084876554566</c:v>
                </c:pt>
                <c:pt idx="41">
                  <c:v>-42.255251832913899</c:v>
                </c:pt>
                <c:pt idx="42">
                  <c:v>-38.76494951126304</c:v>
                </c:pt>
                <c:pt idx="43">
                  <c:v>-35.185177911601947</c:v>
                </c:pt>
                <c:pt idx="44">
                  <c:v>-31.515937033930634</c:v>
                </c:pt>
                <c:pt idx="45">
                  <c:v>-27.75722687824911</c:v>
                </c:pt>
                <c:pt idx="46">
                  <c:v>-23.909047444557377</c:v>
                </c:pt>
                <c:pt idx="47">
                  <c:v>-19.971398732855427</c:v>
                </c:pt>
                <c:pt idx="48">
                  <c:v>-15.944280743143306</c:v>
                </c:pt>
                <c:pt idx="49">
                  <c:v>-11.798616966205879</c:v>
                </c:pt>
                <c:pt idx="50">
                  <c:v>-7.4790901388876154</c:v>
                </c:pt>
                <c:pt idx="51">
                  <c:v>-2.9843667710940855</c:v>
                </c:pt>
                <c:pt idx="52">
                  <c:v>1.6855531371747097</c:v>
                </c:pt>
                <c:pt idx="53">
                  <c:v>6.53066958591877</c:v>
                </c:pt>
                <c:pt idx="54">
                  <c:v>11.550982575138095</c:v>
                </c:pt>
                <c:pt idx="55">
                  <c:v>16.74649210483264</c:v>
                </c:pt>
                <c:pt idx="56">
                  <c:v>22.117198175002496</c:v>
                </c:pt>
                <c:pt idx="57">
                  <c:v>27.663100785647615</c:v>
                </c:pt>
                <c:pt idx="58">
                  <c:v>33.384199936768006</c:v>
                </c:pt>
                <c:pt idx="59">
                  <c:v>39.28049562836366</c:v>
                </c:pt>
                <c:pt idx="60">
                  <c:v>45.351987860434576</c:v>
                </c:pt>
                <c:pt idx="61">
                  <c:v>51.598676632980698</c:v>
                </c:pt>
                <c:pt idx="62">
                  <c:v>58.020561946002147</c:v>
                </c:pt>
                <c:pt idx="63">
                  <c:v>64.617643799498865</c:v>
                </c:pt>
                <c:pt idx="64">
                  <c:v>71.389922193470824</c:v>
                </c:pt>
                <c:pt idx="65">
                  <c:v>78.337397127918081</c:v>
                </c:pt>
                <c:pt idx="66">
                  <c:v>85.460068602840579</c:v>
                </c:pt>
                <c:pt idx="67">
                  <c:v>92.757936618238347</c:v>
                </c:pt>
                <c:pt idx="68">
                  <c:v>100.23100117411133</c:v>
                </c:pt>
                <c:pt idx="69">
                  <c:v>107.87926227045963</c:v>
                </c:pt>
                <c:pt idx="70">
                  <c:v>115.70271990728321</c:v>
                </c:pt>
                <c:pt idx="71">
                  <c:v>123.70137408458203</c:v>
                </c:pt>
                <c:pt idx="72">
                  <c:v>131.87522480235612</c:v>
                </c:pt>
                <c:pt idx="73">
                  <c:v>140.2242720606055</c:v>
                </c:pt>
                <c:pt idx="74">
                  <c:v>148.74851585933004</c:v>
                </c:pt>
                <c:pt idx="75">
                  <c:v>157.44795619852997</c:v>
                </c:pt>
                <c:pt idx="76">
                  <c:v>166.3225930782051</c:v>
                </c:pt>
                <c:pt idx="77">
                  <c:v>175.37242649835554</c:v>
                </c:pt>
                <c:pt idx="78">
                  <c:v>184.59745645898124</c:v>
                </c:pt>
                <c:pt idx="79">
                  <c:v>193.99768296008219</c:v>
                </c:pt>
                <c:pt idx="80">
                  <c:v>203.57310600165843</c:v>
                </c:pt>
                <c:pt idx="81">
                  <c:v>213.32372558370983</c:v>
                </c:pt>
                <c:pt idx="82">
                  <c:v>223.24954170623664</c:v>
                </c:pt>
                <c:pt idx="83">
                  <c:v>233.35055436923869</c:v>
                </c:pt>
                <c:pt idx="84">
                  <c:v>243.62676357271576</c:v>
                </c:pt>
                <c:pt idx="85">
                  <c:v>254.07816931666832</c:v>
                </c:pt>
                <c:pt idx="86">
                  <c:v>264.70477160109618</c:v>
                </c:pt>
                <c:pt idx="87">
                  <c:v>275.5065704259992</c:v>
                </c:pt>
                <c:pt idx="88">
                  <c:v>286.4835657913776</c:v>
                </c:pt>
                <c:pt idx="89">
                  <c:v>297.63575769723121</c:v>
                </c:pt>
                <c:pt idx="90">
                  <c:v>308.9631461435601</c:v>
                </c:pt>
                <c:pt idx="91">
                  <c:v>320.46573113036425</c:v>
                </c:pt>
                <c:pt idx="92">
                  <c:v>332.14351265764361</c:v>
                </c:pt>
                <c:pt idx="93">
                  <c:v>343.99649072539825</c:v>
                </c:pt>
                <c:pt idx="94">
                  <c:v>356.02466533362821</c:v>
                </c:pt>
                <c:pt idx="95">
                  <c:v>368.22803648233344</c:v>
                </c:pt>
                <c:pt idx="96">
                  <c:v>380.6066041715136</c:v>
                </c:pt>
                <c:pt idx="97">
                  <c:v>393.16036840116936</c:v>
                </c:pt>
                <c:pt idx="98">
                  <c:v>405.8893291713004</c:v>
                </c:pt>
                <c:pt idx="99">
                  <c:v>418.79348648190665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-1352.6497557730243</c:v>
                </c:pt>
                <c:pt idx="1">
                  <c:v>-1326.7692362231035</c:v>
                </c:pt>
                <c:pt idx="2">
                  <c:v>-1300.8887166731829</c:v>
                </c:pt>
                <c:pt idx="3">
                  <c:v>-1275.0081971232621</c:v>
                </c:pt>
                <c:pt idx="4">
                  <c:v>-1249.1276775733415</c:v>
                </c:pt>
                <c:pt idx="5">
                  <c:v>-1223.247158023421</c:v>
                </c:pt>
                <c:pt idx="6">
                  <c:v>-1197.3666384735002</c:v>
                </c:pt>
                <c:pt idx="7">
                  <c:v>-1171.4861189235796</c:v>
                </c:pt>
                <c:pt idx="8">
                  <c:v>-1145.6055993736588</c:v>
                </c:pt>
                <c:pt idx="9">
                  <c:v>-1119.7250798237383</c:v>
                </c:pt>
                <c:pt idx="10">
                  <c:v>-1093.8445602738177</c:v>
                </c:pt>
                <c:pt idx="11">
                  <c:v>-1067.9640407238971</c:v>
                </c:pt>
                <c:pt idx="12">
                  <c:v>-1042.0835211739764</c:v>
                </c:pt>
                <c:pt idx="13">
                  <c:v>-1016.2030016240557</c:v>
                </c:pt>
                <c:pt idx="14">
                  <c:v>-990.322482074135</c:v>
                </c:pt>
                <c:pt idx="15">
                  <c:v>-964.44196252421432</c:v>
                </c:pt>
                <c:pt idx="16">
                  <c:v>-938.56144297429375</c:v>
                </c:pt>
                <c:pt idx="17">
                  <c:v>-912.68092342437319</c:v>
                </c:pt>
                <c:pt idx="18">
                  <c:v>-886.80040387445251</c:v>
                </c:pt>
                <c:pt idx="19">
                  <c:v>-860.91988432453172</c:v>
                </c:pt>
                <c:pt idx="20">
                  <c:v>-835.03936477461104</c:v>
                </c:pt>
                <c:pt idx="21">
                  <c:v>-809.15884522469048</c:v>
                </c:pt>
                <c:pt idx="22">
                  <c:v>-783.2783256747698</c:v>
                </c:pt>
                <c:pt idx="23">
                  <c:v>-757.39780612484913</c:v>
                </c:pt>
                <c:pt idx="24">
                  <c:v>-731.51728657492856</c:v>
                </c:pt>
                <c:pt idx="25">
                  <c:v>-705.63676702500788</c:v>
                </c:pt>
                <c:pt idx="26">
                  <c:v>-679.75624747508721</c:v>
                </c:pt>
                <c:pt idx="27">
                  <c:v>-653.87572792516653</c:v>
                </c:pt>
                <c:pt idx="28">
                  <c:v>-627.99520837524597</c:v>
                </c:pt>
                <c:pt idx="29">
                  <c:v>-602.11468882532517</c:v>
                </c:pt>
                <c:pt idx="30">
                  <c:v>-576.2341692754045</c:v>
                </c:pt>
                <c:pt idx="31">
                  <c:v>-550.35364972548393</c:v>
                </c:pt>
                <c:pt idx="32">
                  <c:v>-524.47313017556326</c:v>
                </c:pt>
                <c:pt idx="33">
                  <c:v>-498.59261062564258</c:v>
                </c:pt>
                <c:pt idx="34">
                  <c:v>-472.71209107572201</c:v>
                </c:pt>
                <c:pt idx="35">
                  <c:v>-446.83157152580134</c:v>
                </c:pt>
                <c:pt idx="36">
                  <c:v>-420.95105197588066</c:v>
                </c:pt>
                <c:pt idx="37">
                  <c:v>-395.07053242596004</c:v>
                </c:pt>
                <c:pt idx="38">
                  <c:v>-369.19001287603936</c:v>
                </c:pt>
                <c:pt idx="39">
                  <c:v>-343.30949332611868</c:v>
                </c:pt>
                <c:pt idx="40">
                  <c:v>-317.42897377619801</c:v>
                </c:pt>
                <c:pt idx="41">
                  <c:v>-291.54845422627733</c:v>
                </c:pt>
                <c:pt idx="42">
                  <c:v>-265.66793467635682</c:v>
                </c:pt>
                <c:pt idx="43">
                  <c:v>-239.78741512643614</c:v>
                </c:pt>
                <c:pt idx="44">
                  <c:v>-213.90689557651547</c:v>
                </c:pt>
                <c:pt idx="45">
                  <c:v>-188.02637602659479</c:v>
                </c:pt>
                <c:pt idx="46">
                  <c:v>-162.14585647667408</c:v>
                </c:pt>
                <c:pt idx="47">
                  <c:v>-136.26533692675341</c:v>
                </c:pt>
                <c:pt idx="48">
                  <c:v>-110.38481737683294</c:v>
                </c:pt>
                <c:pt idx="49">
                  <c:v>-84.50429782691225</c:v>
                </c:pt>
                <c:pt idx="50">
                  <c:v>-58.623778276991565</c:v>
                </c:pt>
                <c:pt idx="51">
                  <c:v>-32.743258727070874</c:v>
                </c:pt>
                <c:pt idx="52">
                  <c:v>-6.8627391771501864</c:v>
                </c:pt>
                <c:pt idx="53">
                  <c:v>19.017780372770503</c:v>
                </c:pt>
                <c:pt idx="54">
                  <c:v>44.898299922691194</c:v>
                </c:pt>
                <c:pt idx="55">
                  <c:v>70.778819472611644</c:v>
                </c:pt>
                <c:pt idx="56">
                  <c:v>96.659339022532336</c:v>
                </c:pt>
                <c:pt idx="57">
                  <c:v>122.53985857245303</c:v>
                </c:pt>
                <c:pt idx="58">
                  <c:v>148.42037812237371</c:v>
                </c:pt>
                <c:pt idx="59">
                  <c:v>174.30089767229441</c:v>
                </c:pt>
                <c:pt idx="60">
                  <c:v>200.18141722221509</c:v>
                </c:pt>
                <c:pt idx="61">
                  <c:v>226.06193677213554</c:v>
                </c:pt>
                <c:pt idx="62">
                  <c:v>251.94245632205624</c:v>
                </c:pt>
                <c:pt idx="63">
                  <c:v>277.82297587197695</c:v>
                </c:pt>
                <c:pt idx="64">
                  <c:v>303.70349542189763</c:v>
                </c:pt>
                <c:pt idx="65">
                  <c:v>329.58401497181831</c:v>
                </c:pt>
                <c:pt idx="66">
                  <c:v>355.46453452173898</c:v>
                </c:pt>
                <c:pt idx="67">
                  <c:v>381.34505407165966</c:v>
                </c:pt>
                <c:pt idx="68">
                  <c:v>407.22557362158017</c:v>
                </c:pt>
                <c:pt idx="69">
                  <c:v>433.10609317150085</c:v>
                </c:pt>
                <c:pt idx="70">
                  <c:v>458.98661272142152</c:v>
                </c:pt>
                <c:pt idx="71">
                  <c:v>484.8671322713422</c:v>
                </c:pt>
                <c:pt idx="72">
                  <c:v>510.74765182126288</c:v>
                </c:pt>
                <c:pt idx="73">
                  <c:v>536.62817137118361</c:v>
                </c:pt>
                <c:pt idx="74">
                  <c:v>562.50869092110406</c:v>
                </c:pt>
                <c:pt idx="75">
                  <c:v>588.38921047102474</c:v>
                </c:pt>
                <c:pt idx="76">
                  <c:v>614.26973002094542</c:v>
                </c:pt>
                <c:pt idx="77">
                  <c:v>640.15024957086609</c:v>
                </c:pt>
                <c:pt idx="78">
                  <c:v>666.03076912078677</c:v>
                </c:pt>
                <c:pt idx="79">
                  <c:v>691.91128867070745</c:v>
                </c:pt>
                <c:pt idx="80">
                  <c:v>717.79180822062813</c:v>
                </c:pt>
                <c:pt idx="81">
                  <c:v>743.67232777054869</c:v>
                </c:pt>
                <c:pt idx="82">
                  <c:v>769.5528473204696</c:v>
                </c:pt>
                <c:pt idx="83">
                  <c:v>795.43336687039027</c:v>
                </c:pt>
                <c:pt idx="84">
                  <c:v>821.3138864203105</c:v>
                </c:pt>
                <c:pt idx="85">
                  <c:v>847.19440597023117</c:v>
                </c:pt>
                <c:pt idx="86">
                  <c:v>873.07492552015185</c:v>
                </c:pt>
                <c:pt idx="87">
                  <c:v>898.95544507007253</c:v>
                </c:pt>
                <c:pt idx="88">
                  <c:v>924.83596461999321</c:v>
                </c:pt>
                <c:pt idx="89">
                  <c:v>950.71648416991388</c:v>
                </c:pt>
                <c:pt idx="90">
                  <c:v>976.59700371983456</c:v>
                </c:pt>
                <c:pt idx="91">
                  <c:v>1002.4775232697554</c:v>
                </c:pt>
                <c:pt idx="92">
                  <c:v>1028.358042819676</c:v>
                </c:pt>
                <c:pt idx="93">
                  <c:v>1054.2385623695966</c:v>
                </c:pt>
                <c:pt idx="94">
                  <c:v>1080.1190819195174</c:v>
                </c:pt>
                <c:pt idx="95">
                  <c:v>1105.9996014694379</c:v>
                </c:pt>
                <c:pt idx="96">
                  <c:v>1131.8801210193583</c:v>
                </c:pt>
                <c:pt idx="97">
                  <c:v>1157.7606405692791</c:v>
                </c:pt>
                <c:pt idx="98">
                  <c:v>1183.6411601191996</c:v>
                </c:pt>
                <c:pt idx="99">
                  <c:v>1209.5216796691204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898.47028642206158</c:v>
                </c:pt>
                <c:pt idx="1">
                  <c:v>898.47028642206158</c:v>
                </c:pt>
                <c:pt idx="2">
                  <c:v>898.47028642206158</c:v>
                </c:pt>
                <c:pt idx="3">
                  <c:v>898.47398312879909</c:v>
                </c:pt>
                <c:pt idx="4">
                  <c:v>898.5025934504082</c:v>
                </c:pt>
                <c:pt idx="5">
                  <c:v>898.55949770023665</c:v>
                </c:pt>
                <c:pt idx="6">
                  <c:v>898.64469587828444</c:v>
                </c:pt>
                <c:pt idx="7">
                  <c:v>898.75818798455134</c:v>
                </c:pt>
                <c:pt idx="8">
                  <c:v>898.89997401903759</c:v>
                </c:pt>
                <c:pt idx="9">
                  <c:v>899.07005398174306</c:v>
                </c:pt>
                <c:pt idx="10">
                  <c:v>899.26842787266776</c:v>
                </c:pt>
                <c:pt idx="11">
                  <c:v>899.49509569181191</c:v>
                </c:pt>
                <c:pt idx="12">
                  <c:v>899.75005743917518</c:v>
                </c:pt>
                <c:pt idx="13">
                  <c:v>900.0333131147579</c:v>
                </c:pt>
                <c:pt idx="14">
                  <c:v>900.34486271855974</c:v>
                </c:pt>
                <c:pt idx="15">
                  <c:v>900.6847062505808</c:v>
                </c:pt>
                <c:pt idx="16">
                  <c:v>901.05284371082132</c:v>
                </c:pt>
                <c:pt idx="17">
                  <c:v>901.44927509928095</c:v>
                </c:pt>
                <c:pt idx="18">
                  <c:v>901.87400041595993</c:v>
                </c:pt>
                <c:pt idx="19">
                  <c:v>902.32701966085835</c:v>
                </c:pt>
                <c:pt idx="20">
                  <c:v>902.80833283397578</c:v>
                </c:pt>
                <c:pt idx="21">
                  <c:v>903.31793993531255</c:v>
                </c:pt>
                <c:pt idx="22">
                  <c:v>903.85584096486866</c:v>
                </c:pt>
                <c:pt idx="23">
                  <c:v>904.42203592264411</c:v>
                </c:pt>
                <c:pt idx="24">
                  <c:v>905.01652480863868</c:v>
                </c:pt>
                <c:pt idx="25">
                  <c:v>905.63930762285258</c:v>
                </c:pt>
                <c:pt idx="26">
                  <c:v>906.29038436528583</c:v>
                </c:pt>
                <c:pt idx="27">
                  <c:v>906.96975503593819</c:v>
                </c:pt>
                <c:pt idx="28">
                  <c:v>907.67741963481012</c:v>
                </c:pt>
                <c:pt idx="29">
                  <c:v>908.41337816190105</c:v>
                </c:pt>
                <c:pt idx="30">
                  <c:v>909.17763061721132</c:v>
                </c:pt>
                <c:pt idx="31">
                  <c:v>909.97017700074093</c:v>
                </c:pt>
                <c:pt idx="32">
                  <c:v>910.79101731248966</c:v>
                </c:pt>
                <c:pt idx="33">
                  <c:v>911.64015155245784</c:v>
                </c:pt>
                <c:pt idx="34">
                  <c:v>912.51757972064524</c:v>
                </c:pt>
                <c:pt idx="35">
                  <c:v>913.42330181705188</c:v>
                </c:pt>
                <c:pt idx="36">
                  <c:v>914.35731784167785</c:v>
                </c:pt>
                <c:pt idx="37">
                  <c:v>915.31962779452306</c:v>
                </c:pt>
                <c:pt idx="38">
                  <c:v>916.3102316755876</c:v>
                </c:pt>
                <c:pt idx="39">
                  <c:v>917.32912948487126</c:v>
                </c:pt>
                <c:pt idx="40">
                  <c:v>918.37632122237437</c:v>
                </c:pt>
                <c:pt idx="41">
                  <c:v>919.4518068880966</c:v>
                </c:pt>
                <c:pt idx="42">
                  <c:v>920.55558648203828</c:v>
                </c:pt>
                <c:pt idx="43">
                  <c:v>921.68766000419919</c:v>
                </c:pt>
                <c:pt idx="44">
                  <c:v>922.84802745457921</c:v>
                </c:pt>
                <c:pt idx="45">
                  <c:v>924.03668883317869</c:v>
                </c:pt>
                <c:pt idx="46">
                  <c:v>925.25364413999728</c:v>
                </c:pt>
                <c:pt idx="47">
                  <c:v>926.49889337503532</c:v>
                </c:pt>
                <c:pt idx="48">
                  <c:v>927.7724365382926</c:v>
                </c:pt>
                <c:pt idx="49">
                  <c:v>929.11326828774691</c:v>
                </c:pt>
                <c:pt idx="50">
                  <c:v>930.59557489318286</c:v>
                </c:pt>
                <c:pt idx="51">
                  <c:v>932.22114470511269</c:v>
                </c:pt>
                <c:pt idx="52">
                  <c:v>933.98997772353619</c:v>
                </c:pt>
                <c:pt idx="53">
                  <c:v>935.90207394845356</c:v>
                </c:pt>
                <c:pt idx="54">
                  <c:v>937.95743337986482</c:v>
                </c:pt>
                <c:pt idx="55">
                  <c:v>940.15605601776986</c:v>
                </c:pt>
                <c:pt idx="56">
                  <c:v>942.49794186216866</c:v>
                </c:pt>
                <c:pt idx="57">
                  <c:v>944.98309091306135</c:v>
                </c:pt>
                <c:pt idx="58">
                  <c:v>947.61150317044792</c:v>
                </c:pt>
                <c:pt idx="59">
                  <c:v>950.38317863432815</c:v>
                </c:pt>
                <c:pt idx="60">
                  <c:v>953.29811730470237</c:v>
                </c:pt>
                <c:pt idx="61">
                  <c:v>956.35631918157037</c:v>
                </c:pt>
                <c:pt idx="62">
                  <c:v>959.55778426493214</c:v>
                </c:pt>
                <c:pt idx="63">
                  <c:v>962.90251255478779</c:v>
                </c:pt>
                <c:pt idx="64">
                  <c:v>966.39050405113721</c:v>
                </c:pt>
                <c:pt idx="65">
                  <c:v>970.02175875398063</c:v>
                </c:pt>
                <c:pt idx="66">
                  <c:v>973.79627666331771</c:v>
                </c:pt>
                <c:pt idx="67">
                  <c:v>977.71405777914867</c:v>
                </c:pt>
                <c:pt idx="68">
                  <c:v>981.77510210147341</c:v>
                </c:pt>
                <c:pt idx="69">
                  <c:v>985.97940963029203</c:v>
                </c:pt>
                <c:pt idx="70">
                  <c:v>990.32698036560441</c:v>
                </c:pt>
                <c:pt idx="71">
                  <c:v>994.81781430741069</c:v>
                </c:pt>
                <c:pt idx="72">
                  <c:v>999.45191145571073</c:v>
                </c:pt>
                <c:pt idx="73">
                  <c:v>1004.2292718105048</c:v>
                </c:pt>
                <c:pt idx="74">
                  <c:v>1009.1498953717924</c:v>
                </c:pt>
                <c:pt idx="75">
                  <c:v>1014.2137821395739</c:v>
                </c:pt>
                <c:pt idx="76">
                  <c:v>1019.4209321138493</c:v>
                </c:pt>
                <c:pt idx="77">
                  <c:v>1024.7713452946184</c:v>
                </c:pt>
                <c:pt idx="78">
                  <c:v>1030.2650216818815</c:v>
                </c:pt>
                <c:pt idx="79">
                  <c:v>1035.9019612756385</c:v>
                </c:pt>
                <c:pt idx="80">
                  <c:v>1041.6821640758892</c:v>
                </c:pt>
                <c:pt idx="81">
                  <c:v>1047.6056300826335</c:v>
                </c:pt>
                <c:pt idx="82">
                  <c:v>1053.672359295872</c:v>
                </c:pt>
                <c:pt idx="83">
                  <c:v>1059.8823517156043</c:v>
                </c:pt>
                <c:pt idx="84">
                  <c:v>1066.2356073418302</c:v>
                </c:pt>
                <c:pt idx="85">
                  <c:v>1072.7321261745499</c:v>
                </c:pt>
                <c:pt idx="86">
                  <c:v>1079.3719082137634</c:v>
                </c:pt>
                <c:pt idx="87">
                  <c:v>1086.154953459471</c:v>
                </c:pt>
                <c:pt idx="88">
                  <c:v>1093.0812619116723</c:v>
                </c:pt>
                <c:pt idx="89">
                  <c:v>1100.1508335703675</c:v>
                </c:pt>
                <c:pt idx="90">
                  <c:v>1107.3636684355563</c:v>
                </c:pt>
                <c:pt idx="91">
                  <c:v>1114.719766507239</c:v>
                </c:pt>
                <c:pt idx="92">
                  <c:v>1122.2191277854158</c:v>
                </c:pt>
                <c:pt idx="93">
                  <c:v>1129.8617522700863</c:v>
                </c:pt>
                <c:pt idx="94">
                  <c:v>1137.6476399612507</c:v>
                </c:pt>
                <c:pt idx="95">
                  <c:v>1145.5767908589085</c:v>
                </c:pt>
                <c:pt idx="96">
                  <c:v>1153.6492049630604</c:v>
                </c:pt>
                <c:pt idx="97">
                  <c:v>1161.8648822737061</c:v>
                </c:pt>
                <c:pt idx="98">
                  <c:v>1170.2238227908458</c:v>
                </c:pt>
                <c:pt idx="99">
                  <c:v>1178.7260265144789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23</xdr:row>
      <xdr:rowOff>72469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0" t="s">
        <v>17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</row>
    <row r="4" spans="1:15" s="46" customFormat="1" ht="20.100000000000001" hidden="1" customHeight="1" outlineLevel="1">
      <c r="A4" s="47" t="s">
        <v>16</v>
      </c>
      <c r="B4" s="182" t="s">
        <v>15</v>
      </c>
      <c r="C4" s="182"/>
      <c r="D4" s="182"/>
      <c r="E4" s="182"/>
      <c r="F4" s="182"/>
      <c r="G4" s="18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4"/>
      <c r="C5" s="175"/>
      <c r="D5" s="175"/>
      <c r="E5" s="175"/>
      <c r="F5" s="175"/>
      <c r="G5" s="17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4"/>
      <c r="C6" s="175"/>
      <c r="D6" s="175"/>
      <c r="E6" s="175"/>
      <c r="F6" s="175"/>
      <c r="G6" s="17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4"/>
      <c r="C7" s="175"/>
      <c r="D7" s="175"/>
      <c r="E7" s="175"/>
      <c r="F7" s="175"/>
      <c r="G7" s="17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4"/>
      <c r="C8" s="175"/>
      <c r="D8" s="175"/>
      <c r="E8" s="175"/>
      <c r="F8" s="175"/>
      <c r="G8" s="17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4"/>
      <c r="C9" s="175"/>
      <c r="D9" s="175"/>
      <c r="E9" s="175"/>
      <c r="F9" s="175"/>
      <c r="G9" s="17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101</v>
      </c>
      <c r="C13" s="177"/>
      <c r="D13" s="179" t="s">
        <v>102</v>
      </c>
      <c r="E13" s="179"/>
      <c r="F13" s="179"/>
      <c r="G13" s="179"/>
      <c r="H13" s="179"/>
      <c r="I13" s="179"/>
      <c r="J13" s="179"/>
      <c r="K13" s="179"/>
      <c r="L13" s="86"/>
    </row>
    <row r="14" spans="1:15" s="85" customFormat="1" ht="20.100000000000001" customHeight="1" outlineLevel="1">
      <c r="A14" s="87"/>
      <c r="B14" s="177" t="s">
        <v>100</v>
      </c>
      <c r="C14" s="177"/>
      <c r="D14" s="179" t="s">
        <v>104</v>
      </c>
      <c r="E14" s="179"/>
      <c r="F14" s="179"/>
      <c r="G14" s="179"/>
      <c r="H14" s="179"/>
      <c r="I14" s="179"/>
      <c r="J14" s="179"/>
      <c r="K14" s="179"/>
      <c r="L14" s="86"/>
    </row>
    <row r="15" spans="1:15" s="85" customFormat="1" ht="20.100000000000001" customHeight="1" outlineLevel="1">
      <c r="A15" s="87"/>
      <c r="B15" s="177" t="s">
        <v>99</v>
      </c>
      <c r="C15" s="177"/>
      <c r="D15" s="179" t="s">
        <v>103</v>
      </c>
      <c r="E15" s="179"/>
      <c r="F15" s="179"/>
      <c r="G15" s="179"/>
      <c r="H15" s="179"/>
      <c r="I15" s="179"/>
      <c r="J15" s="179"/>
      <c r="K15" s="179"/>
      <c r="L15" s="86"/>
    </row>
    <row r="16" spans="1:15" s="85" customFormat="1" ht="20.100000000000001" customHeight="1" outlineLevel="1">
      <c r="A16" s="87"/>
      <c r="B16" s="177" t="s">
        <v>98</v>
      </c>
      <c r="C16" s="177"/>
      <c r="D16" s="179" t="str">
        <f>Title</f>
        <v>Flange Segment Analytical Model for 30° gap size</v>
      </c>
      <c r="E16" s="179"/>
      <c r="F16" s="179"/>
      <c r="G16" s="179"/>
      <c r="H16" s="179"/>
      <c r="I16" s="179"/>
      <c r="J16" s="179"/>
      <c r="K16" s="179"/>
      <c r="L16" s="86"/>
      <c r="M16" s="88"/>
    </row>
    <row r="17" spans="1:22" s="85" customFormat="1" ht="20.100000000000001" customHeight="1" outlineLevel="1">
      <c r="A17" s="87"/>
      <c r="B17" s="177" t="s">
        <v>97</v>
      </c>
      <c r="C17" s="177"/>
      <c r="D17" s="183" t="s">
        <v>326</v>
      </c>
      <c r="E17" s="179"/>
      <c r="F17" s="179"/>
      <c r="G17" s="179"/>
      <c r="H17" s="179"/>
      <c r="I17" s="179"/>
      <c r="J17" s="179"/>
      <c r="K17" s="179"/>
      <c r="L17" s="86"/>
    </row>
    <row r="18" spans="1:22" s="85" customFormat="1" ht="20.100000000000001" customHeight="1" outlineLevel="1">
      <c r="A18" s="87"/>
      <c r="B18" s="177" t="s">
        <v>96</v>
      </c>
      <c r="C18" s="177"/>
      <c r="D18" s="178">
        <v>45432</v>
      </c>
      <c r="E18" s="178"/>
      <c r="F18" s="178"/>
      <c r="G18" s="178"/>
      <c r="H18" s="178"/>
      <c r="I18" s="178"/>
      <c r="J18" s="178"/>
      <c r="K18" s="17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4"/>
      <c r="C28" s="185"/>
      <c r="D28" s="185"/>
      <c r="E28" s="185"/>
      <c r="F28" s="185"/>
      <c r="G28" s="185"/>
      <c r="H28" s="185"/>
      <c r="I28" s="185"/>
      <c r="J28" s="185"/>
      <c r="K28" s="18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-1272.9315816366502</v>
      </c>
      <c r="P66" s="71">
        <v>-1246.5525378209836</v>
      </c>
      <c r="Q66" s="71">
        <v>-1220.1734940053168</v>
      </c>
      <c r="R66" s="71">
        <v>-1193.7944501896502</v>
      </c>
      <c r="S66" s="71">
        <v>-1167.4154063739834</v>
      </c>
      <c r="T66" s="71">
        <v>-1141.0363625583168</v>
      </c>
      <c r="U66" s="71">
        <v>-1114.6573187426502</v>
      </c>
      <c r="V66" s="71">
        <v>-1088.2782749269836</v>
      </c>
      <c r="W66" s="71">
        <v>-1061.899231111317</v>
      </c>
      <c r="X66" s="71">
        <v>-1035.5201872956502</v>
      </c>
      <c r="Y66" s="71">
        <v>-1009.1411434799836</v>
      </c>
      <c r="Z66" s="71">
        <v>-982.76209966431679</v>
      </c>
      <c r="AA66" s="71">
        <v>-956.3830558486502</v>
      </c>
      <c r="AB66" s="71">
        <v>-930.0040120329835</v>
      </c>
      <c r="AC66" s="71">
        <v>-903.62496821731679</v>
      </c>
      <c r="AD66" s="71">
        <v>-877.2459244016502</v>
      </c>
      <c r="AE66" s="71">
        <v>-850.86688058598338</v>
      </c>
      <c r="AF66" s="71">
        <v>-824.48783677031679</v>
      </c>
      <c r="AG66" s="71">
        <v>-798.10879295465008</v>
      </c>
      <c r="AH66" s="71">
        <v>-771.72974913898338</v>
      </c>
      <c r="AI66" s="71">
        <v>-745.35070532331679</v>
      </c>
      <c r="AJ66" s="71">
        <v>-718.97166150765008</v>
      </c>
      <c r="AK66" s="71">
        <v>-692.59261769198338</v>
      </c>
      <c r="AL66" s="71">
        <v>-666.21357387631679</v>
      </c>
      <c r="AM66" s="71">
        <v>-639.83453006065008</v>
      </c>
      <c r="AN66" s="71">
        <v>-613.45548624498338</v>
      </c>
      <c r="AO66" s="71">
        <v>-587.07644242931667</v>
      </c>
      <c r="AP66" s="71">
        <v>-560.69739861364997</v>
      </c>
      <c r="AQ66" s="71">
        <v>-534.31835479798326</v>
      </c>
      <c r="AR66" s="71">
        <v>-507.93931098231673</v>
      </c>
      <c r="AS66" s="71">
        <v>-481.56026716665002</v>
      </c>
      <c r="AT66" s="71">
        <v>-455.18122335098337</v>
      </c>
      <c r="AU66" s="71">
        <v>-428.80217953531667</v>
      </c>
      <c r="AV66" s="71">
        <v>-402.42313571964996</v>
      </c>
      <c r="AW66" s="71">
        <v>-376.04409190398326</v>
      </c>
      <c r="AX66" s="71">
        <v>-349.66504808831655</v>
      </c>
      <c r="AY66" s="71">
        <v>-323.28600427265002</v>
      </c>
      <c r="AZ66" s="71">
        <v>-296.90696045698331</v>
      </c>
      <c r="BA66" s="71">
        <v>-270.52791664131661</v>
      </c>
      <c r="BB66" s="71">
        <v>-244.1488728256499</v>
      </c>
      <c r="BC66" s="71">
        <v>-217.76982900998323</v>
      </c>
      <c r="BD66" s="71">
        <v>-191.39078519431663</v>
      </c>
      <c r="BE66" s="71">
        <v>-165.01174137864984</v>
      </c>
      <c r="BF66" s="71">
        <v>-138.63269756298325</v>
      </c>
      <c r="BG66" s="71">
        <v>-112.25365374731645</v>
      </c>
      <c r="BH66" s="71">
        <v>-85.874609931649871</v>
      </c>
      <c r="BI66" s="71">
        <v>-59.495566115983294</v>
      </c>
      <c r="BJ66" s="71">
        <v>-33.11652230031649</v>
      </c>
      <c r="BK66" s="71">
        <v>-6.7374784846499098</v>
      </c>
      <c r="BL66" s="71">
        <v>19.641565331016899</v>
      </c>
      <c r="BM66" s="71">
        <v>46.020609146683476</v>
      </c>
      <c r="BN66" s="71">
        <v>72.399652962350288</v>
      </c>
      <c r="BO66" s="71">
        <v>98.778696778016865</v>
      </c>
      <c r="BP66" s="71">
        <v>125.15774059368344</v>
      </c>
      <c r="BQ66" s="71">
        <v>151.53678440935025</v>
      </c>
      <c r="BR66" s="71">
        <v>177.91582822501684</v>
      </c>
      <c r="BS66" s="71">
        <v>204.29487204068363</v>
      </c>
      <c r="BT66" s="71">
        <v>230.67391585635022</v>
      </c>
      <c r="BU66" s="71">
        <v>257.05295967201681</v>
      </c>
      <c r="BV66" s="71">
        <v>283.43200348768357</v>
      </c>
      <c r="BW66" s="71">
        <v>309.81104730335016</v>
      </c>
      <c r="BX66" s="71">
        <v>336.19009111901698</v>
      </c>
      <c r="BY66" s="71">
        <v>362.56913493468358</v>
      </c>
      <c r="BZ66" s="71">
        <v>388.94817875035039</v>
      </c>
      <c r="CA66" s="71">
        <v>415.32722256601693</v>
      </c>
      <c r="CB66" s="71">
        <v>441.70626638168352</v>
      </c>
      <c r="CC66" s="71">
        <v>468.08531019735034</v>
      </c>
      <c r="CD66" s="71">
        <v>494.46435401301693</v>
      </c>
      <c r="CE66" s="71">
        <v>520.84339782868369</v>
      </c>
      <c r="CF66" s="71">
        <v>547.22244164435028</v>
      </c>
      <c r="CG66" s="71">
        <v>573.6014854600171</v>
      </c>
      <c r="CH66" s="71">
        <v>599.98052927568369</v>
      </c>
      <c r="CI66" s="71">
        <v>626.35957309135028</v>
      </c>
      <c r="CJ66" s="71">
        <v>652.7386169070171</v>
      </c>
      <c r="CK66" s="71">
        <v>679.11766072268369</v>
      </c>
      <c r="CL66" s="71">
        <v>705.49670453835051</v>
      </c>
      <c r="CM66" s="71">
        <v>731.87574835401699</v>
      </c>
      <c r="CN66" s="71">
        <v>758.25479216968358</v>
      </c>
      <c r="CO66" s="71">
        <v>784.6338359853504</v>
      </c>
      <c r="CP66" s="71">
        <v>811.01287980101699</v>
      </c>
      <c r="CQ66" s="71">
        <v>837.39192361668381</v>
      </c>
      <c r="CR66" s="71">
        <v>863.77096743235063</v>
      </c>
      <c r="CS66" s="71">
        <v>890.15001124801699</v>
      </c>
      <c r="CT66" s="71">
        <v>916.52905506368381</v>
      </c>
      <c r="CU66" s="71">
        <v>942.90809887935063</v>
      </c>
      <c r="CV66" s="71">
        <v>969.28714269501688</v>
      </c>
      <c r="CW66" s="71">
        <v>995.6661865106837</v>
      </c>
      <c r="CX66" s="71">
        <v>1022.0452303263505</v>
      </c>
      <c r="CY66" s="71">
        <v>1048.4242741420173</v>
      </c>
      <c r="CZ66" s="71">
        <v>1074.8033179576837</v>
      </c>
      <c r="DA66" s="71">
        <v>1101.1823617733505</v>
      </c>
      <c r="DB66" s="71">
        <v>1127.5614055890173</v>
      </c>
      <c r="DC66" s="71">
        <v>1153.9404494046837</v>
      </c>
      <c r="DD66" s="71">
        <v>1180.3194932203505</v>
      </c>
      <c r="DE66" s="71">
        <v>1206.6985370360173</v>
      </c>
      <c r="DF66" s="71">
        <v>1233.0775808516842</v>
      </c>
      <c r="DG66" s="71">
        <v>1259.4566246673505</v>
      </c>
      <c r="DH66" s="71">
        <v>1285.8356684830173</v>
      </c>
      <c r="DI66" s="71">
        <v>1312.2147122986842</v>
      </c>
      <c r="DJ66" s="71">
        <v>1338.5937561143503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900.58823916963433</v>
      </c>
      <c r="P67" s="71">
        <v>900.58823916963433</v>
      </c>
      <c r="Q67" s="71">
        <v>900.58823916963433</v>
      </c>
      <c r="R67" s="71">
        <v>900.59591954234077</v>
      </c>
      <c r="S67" s="71">
        <v>900.63337667397116</v>
      </c>
      <c r="T67" s="71">
        <v>900.70199294791257</v>
      </c>
      <c r="U67" s="71">
        <v>900.8017683641649</v>
      </c>
      <c r="V67" s="71">
        <v>900.93270292272825</v>
      </c>
      <c r="W67" s="71">
        <v>901.09479662360252</v>
      </c>
      <c r="X67" s="71">
        <v>901.28804946678781</v>
      </c>
      <c r="Y67" s="71">
        <v>901.51246145228413</v>
      </c>
      <c r="Z67" s="71">
        <v>901.76803258009136</v>
      </c>
      <c r="AA67" s="71">
        <v>902.05476285020961</v>
      </c>
      <c r="AB67" s="71">
        <v>902.37265226263878</v>
      </c>
      <c r="AC67" s="71">
        <v>902.72170081737909</v>
      </c>
      <c r="AD67" s="71">
        <v>903.10190851443031</v>
      </c>
      <c r="AE67" s="71">
        <v>903.51327535379244</v>
      </c>
      <c r="AF67" s="71">
        <v>903.95580133546559</v>
      </c>
      <c r="AG67" s="71">
        <v>904.42948645944978</v>
      </c>
      <c r="AH67" s="71">
        <v>904.93433072574499</v>
      </c>
      <c r="AI67" s="71">
        <v>905.47033413435099</v>
      </c>
      <c r="AJ67" s="71">
        <v>906.03749668526814</v>
      </c>
      <c r="AK67" s="71">
        <v>906.6358183784962</v>
      </c>
      <c r="AL67" s="71">
        <v>907.26529921403528</v>
      </c>
      <c r="AM67" s="71">
        <v>907.92593919188539</v>
      </c>
      <c r="AN67" s="71">
        <v>908.61773831204641</v>
      </c>
      <c r="AO67" s="71">
        <v>909.34069657451846</v>
      </c>
      <c r="AP67" s="71">
        <v>910.09481397930153</v>
      </c>
      <c r="AQ67" s="71">
        <v>910.88009052639552</v>
      </c>
      <c r="AR67" s="71">
        <v>911.69652621580042</v>
      </c>
      <c r="AS67" s="71">
        <v>912.54412104751634</v>
      </c>
      <c r="AT67" s="71">
        <v>913.4228750215434</v>
      </c>
      <c r="AU67" s="71">
        <v>914.33278813788127</v>
      </c>
      <c r="AV67" s="71">
        <v>915.27386039653027</v>
      </c>
      <c r="AW67" s="71">
        <v>916.24609179749018</v>
      </c>
      <c r="AX67" s="71">
        <v>917.24948234076101</v>
      </c>
      <c r="AY67" s="71">
        <v>918.28403202634286</v>
      </c>
      <c r="AZ67" s="71">
        <v>919.34974085423573</v>
      </c>
      <c r="BA67" s="71">
        <v>920.44660882443964</v>
      </c>
      <c r="BB67" s="71">
        <v>921.57463593695445</v>
      </c>
      <c r="BC67" s="71">
        <v>922.73382219178018</v>
      </c>
      <c r="BD67" s="71">
        <v>923.92416758891693</v>
      </c>
      <c r="BE67" s="71">
        <v>925.14567212836482</v>
      </c>
      <c r="BF67" s="71">
        <v>926.39833581012363</v>
      </c>
      <c r="BG67" s="71">
        <v>927.68215863419334</v>
      </c>
      <c r="BH67" s="71">
        <v>929.02237400970182</v>
      </c>
      <c r="BI67" s="71">
        <v>930.479398312336</v>
      </c>
      <c r="BJ67" s="71">
        <v>932.05585700707013</v>
      </c>
      <c r="BK67" s="71">
        <v>933.75175009390409</v>
      </c>
      <c r="BL67" s="71">
        <v>935.56707757283777</v>
      </c>
      <c r="BM67" s="71">
        <v>937.50183944387152</v>
      </c>
      <c r="BN67" s="71">
        <v>939.55603570700509</v>
      </c>
      <c r="BO67" s="71">
        <v>941.72966636223862</v>
      </c>
      <c r="BP67" s="71">
        <v>944.02273140957186</v>
      </c>
      <c r="BQ67" s="71">
        <v>946.43523084900494</v>
      </c>
      <c r="BR67" s="71">
        <v>948.96716468053796</v>
      </c>
      <c r="BS67" s="71">
        <v>951.61853290417093</v>
      </c>
      <c r="BT67" s="71">
        <v>954.38933551990374</v>
      </c>
      <c r="BU67" s="71">
        <v>957.27957252773626</v>
      </c>
      <c r="BV67" s="71">
        <v>960.28924392766874</v>
      </c>
      <c r="BW67" s="71">
        <v>963.41834971970115</v>
      </c>
      <c r="BX67" s="71">
        <v>966.66688990383341</v>
      </c>
      <c r="BY67" s="71">
        <v>970.03486448006538</v>
      </c>
      <c r="BZ67" s="71">
        <v>973.52227344839741</v>
      </c>
      <c r="CA67" s="71">
        <v>977.12911680882928</v>
      </c>
      <c r="CB67" s="71">
        <v>980.85539456136098</v>
      </c>
      <c r="CC67" s="71">
        <v>984.70110670599252</v>
      </c>
      <c r="CD67" s="71">
        <v>988.666253242724</v>
      </c>
      <c r="CE67" s="71">
        <v>992.7508341715552</v>
      </c>
      <c r="CF67" s="71">
        <v>996.95484949248646</v>
      </c>
      <c r="CG67" s="71">
        <v>1001.2782992055176</v>
      </c>
      <c r="CH67" s="71">
        <v>1005.7211833106484</v>
      </c>
      <c r="CI67" s="71">
        <v>1010.2835018078792</v>
      </c>
      <c r="CJ67" s="71">
        <v>1014.9652546972098</v>
      </c>
      <c r="CK67" s="71">
        <v>1019.7664419786403</v>
      </c>
      <c r="CL67" s="71">
        <v>1024.6870636521708</v>
      </c>
      <c r="CM67" s="71">
        <v>1029.7271197178009</v>
      </c>
      <c r="CN67" s="71">
        <v>1034.8866101755309</v>
      </c>
      <c r="CO67" s="71">
        <v>1040.1655350253609</v>
      </c>
      <c r="CP67" s="71">
        <v>1045.5638942672908</v>
      </c>
      <c r="CQ67" s="71">
        <v>1051.0816879013207</v>
      </c>
      <c r="CR67" s="71">
        <v>1056.7189159274501</v>
      </c>
      <c r="CS67" s="71">
        <v>1062.4755783456794</v>
      </c>
      <c r="CT67" s="71">
        <v>1068.3516751560089</v>
      </c>
      <c r="CU67" s="71">
        <v>1074.3472063584381</v>
      </c>
      <c r="CV67" s="71">
        <v>1080.4621719529671</v>
      </c>
      <c r="CW67" s="71">
        <v>1086.696571939596</v>
      </c>
      <c r="CX67" s="71">
        <v>1093.0504063183248</v>
      </c>
      <c r="CY67" s="71">
        <v>1099.5236750891534</v>
      </c>
      <c r="CZ67" s="71">
        <v>1106.1163782520821</v>
      </c>
      <c r="DA67" s="71">
        <v>1112.8285158071103</v>
      </c>
      <c r="DB67" s="71">
        <v>1119.6600877542387</v>
      </c>
      <c r="DC67" s="71">
        <v>1126.6110940934666</v>
      </c>
      <c r="DD67" s="71">
        <v>1133.6815348247947</v>
      </c>
      <c r="DE67" s="71">
        <v>1140.8714099482227</v>
      </c>
      <c r="DF67" s="71">
        <v>1148.1807194637502</v>
      </c>
      <c r="DG67" s="71">
        <v>1155.6094633713778</v>
      </c>
      <c r="DH67" s="71">
        <v>1163.1576416711052</v>
      </c>
      <c r="DI67" s="71">
        <v>1170.8252543629326</v>
      </c>
      <c r="DJ67" s="71">
        <v>1178.6123014468596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-96.821808855382997</v>
      </c>
      <c r="P68" s="71">
        <v>-96.821808855382997</v>
      </c>
      <c r="Q68" s="71">
        <v>-96.821808855382997</v>
      </c>
      <c r="R68" s="71">
        <v>-96.798691698487431</v>
      </c>
      <c r="S68" s="71">
        <v>-96.685949462942787</v>
      </c>
      <c r="T68" s="71">
        <v>-96.479421312436472</v>
      </c>
      <c r="U68" s="71">
        <v>-96.179107246968471</v>
      </c>
      <c r="V68" s="71">
        <v>-95.785007266538813</v>
      </c>
      <c r="W68" s="71">
        <v>-95.297121371147455</v>
      </c>
      <c r="X68" s="71">
        <v>-94.715449560794426</v>
      </c>
      <c r="Y68" s="71">
        <v>-94.039991835479725</v>
      </c>
      <c r="Z68" s="71">
        <v>-93.270748195203353</v>
      </c>
      <c r="AA68" s="71">
        <v>-92.407718639965282</v>
      </c>
      <c r="AB68" s="71">
        <v>-91.450903169765567</v>
      </c>
      <c r="AC68" s="71">
        <v>-90.400301784604153</v>
      </c>
      <c r="AD68" s="71">
        <v>-89.255914484481082</v>
      </c>
      <c r="AE68" s="71">
        <v>-88.017741269396311</v>
      </c>
      <c r="AF68" s="71">
        <v>-86.685782139349882</v>
      </c>
      <c r="AG68" s="71">
        <v>-85.260037094341769</v>
      </c>
      <c r="AH68" s="71">
        <v>-83.740506134371984</v>
      </c>
      <c r="AI68" s="71">
        <v>-82.127189259440513</v>
      </c>
      <c r="AJ68" s="71">
        <v>-80.420086469547371</v>
      </c>
      <c r="AK68" s="71">
        <v>-78.619197764692544</v>
      </c>
      <c r="AL68" s="71">
        <v>-76.724523144876073</v>
      </c>
      <c r="AM68" s="71">
        <v>-74.736062610097889</v>
      </c>
      <c r="AN68" s="71">
        <v>-72.653816160358062</v>
      </c>
      <c r="AO68" s="71">
        <v>-70.477783795656535</v>
      </c>
      <c r="AP68" s="71">
        <v>-68.207965515993337</v>
      </c>
      <c r="AQ68" s="71">
        <v>-65.844361321368467</v>
      </c>
      <c r="AR68" s="71">
        <v>-63.386971211781919</v>
      </c>
      <c r="AS68" s="71">
        <v>-60.835795187233707</v>
      </c>
      <c r="AT68" s="71">
        <v>-58.190833247723795</v>
      </c>
      <c r="AU68" s="71">
        <v>-55.452085393252219</v>
      </c>
      <c r="AV68" s="71">
        <v>-52.619551623818964</v>
      </c>
      <c r="AW68" s="71">
        <v>-49.693231939424038</v>
      </c>
      <c r="AX68" s="71">
        <v>-46.673126340067427</v>
      </c>
      <c r="AY68" s="71">
        <v>-43.559234825749151</v>
      </c>
      <c r="AZ68" s="71">
        <v>-40.351557396469197</v>
      </c>
      <c r="BA68" s="71">
        <v>-37.050094052227564</v>
      </c>
      <c r="BB68" s="71">
        <v>-33.654844793024246</v>
      </c>
      <c r="BC68" s="71">
        <v>-30.165809618859257</v>
      </c>
      <c r="BD68" s="71">
        <v>-26.58298852973261</v>
      </c>
      <c r="BE68" s="71">
        <v>-22.906381525644253</v>
      </c>
      <c r="BF68" s="71">
        <v>-19.135988606594253</v>
      </c>
      <c r="BG68" s="71">
        <v>-15.271809772582541</v>
      </c>
      <c r="BH68" s="71">
        <v>-11.290524758399931</v>
      </c>
      <c r="BI68" s="71">
        <v>-7.136297830679041</v>
      </c>
      <c r="BJ68" s="71">
        <v>-2.8067025816687563</v>
      </c>
      <c r="BK68" s="71">
        <v>1.6982609886308506</v>
      </c>
      <c r="BL68" s="71">
        <v>6.378592880219859</v>
      </c>
      <c r="BM68" s="71">
        <v>11.234293093098186</v>
      </c>
      <c r="BN68" s="71">
        <v>16.265361627265918</v>
      </c>
      <c r="BO68" s="71">
        <v>21.47179848272296</v>
      </c>
      <c r="BP68" s="71">
        <v>26.853603659469364</v>
      </c>
      <c r="BQ68" s="71">
        <v>32.41077715750518</v>
      </c>
      <c r="BR68" s="71">
        <v>38.143318976830301</v>
      </c>
      <c r="BS68" s="71">
        <v>44.051229117444834</v>
      </c>
      <c r="BT68" s="71">
        <v>50.134507579348679</v>
      </c>
      <c r="BU68" s="71">
        <v>56.393154362541893</v>
      </c>
      <c r="BV68" s="71">
        <v>62.827169467024504</v>
      </c>
      <c r="BW68" s="71">
        <v>69.436552892796428</v>
      </c>
      <c r="BX68" s="71">
        <v>76.221304639857763</v>
      </c>
      <c r="BY68" s="71">
        <v>83.181424708208411</v>
      </c>
      <c r="BZ68" s="71">
        <v>90.31691309784847</v>
      </c>
      <c r="CA68" s="71">
        <v>97.627769808777828</v>
      </c>
      <c r="CB68" s="71">
        <v>105.11399484099654</v>
      </c>
      <c r="CC68" s="71">
        <v>112.77558819450469</v>
      </c>
      <c r="CD68" s="71">
        <v>120.61254986930213</v>
      </c>
      <c r="CE68" s="71">
        <v>128.624879865389</v>
      </c>
      <c r="CF68" s="71">
        <v>136.81257818276515</v>
      </c>
      <c r="CG68" s="71">
        <v>145.17564482143072</v>
      </c>
      <c r="CH68" s="71">
        <v>153.71407978138561</v>
      </c>
      <c r="CI68" s="71">
        <v>162.42788306262986</v>
      </c>
      <c r="CJ68" s="71">
        <v>171.31705466516348</v>
      </c>
      <c r="CK68" s="71">
        <v>180.38159458898647</v>
      </c>
      <c r="CL68" s="71">
        <v>189.62150283409886</v>
      </c>
      <c r="CM68" s="71">
        <v>199.03677940050054</v>
      </c>
      <c r="CN68" s="71">
        <v>208.62742428819158</v>
      </c>
      <c r="CO68" s="71">
        <v>218.39343749717207</v>
      </c>
      <c r="CP68" s="71">
        <v>228.3348190274418</v>
      </c>
      <c r="CQ68" s="71">
        <v>238.451568879001</v>
      </c>
      <c r="CR68" s="71">
        <v>248.74368705184955</v>
      </c>
      <c r="CS68" s="71">
        <v>259.21117354598732</v>
      </c>
      <c r="CT68" s="71">
        <v>269.85402836141458</v>
      </c>
      <c r="CU68" s="71">
        <v>280.67225149813123</v>
      </c>
      <c r="CV68" s="71">
        <v>291.66584295613706</v>
      </c>
      <c r="CW68" s="71">
        <v>302.83480273543245</v>
      </c>
      <c r="CX68" s="71">
        <v>314.17913083601718</v>
      </c>
      <c r="CY68" s="71">
        <v>325.69882725789125</v>
      </c>
      <c r="CZ68" s="71">
        <v>337.39389200105444</v>
      </c>
      <c r="DA68" s="71">
        <v>349.26432506550725</v>
      </c>
      <c r="DB68" s="71">
        <v>361.31012645124946</v>
      </c>
      <c r="DC68" s="71">
        <v>373.53129615828078</v>
      </c>
      <c r="DD68" s="71">
        <v>385.92783418660167</v>
      </c>
      <c r="DE68" s="71">
        <v>398.4997405362119</v>
      </c>
      <c r="DF68" s="71">
        <v>411.24701520711153</v>
      </c>
      <c r="DG68" s="71">
        <v>424.16965819930027</v>
      </c>
      <c r="DH68" s="71">
        <v>437.26766951277864</v>
      </c>
      <c r="DI68" s="71">
        <v>450.54104914754635</v>
      </c>
      <c r="DJ68" s="71">
        <v>463.98979710360311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1274.8511962993814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121.86421587998476</v>
      </c>
      <c r="K85" s="79">
        <v>943.72990843012087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-1212.3157920349049</v>
      </c>
      <c r="K86" s="79">
        <v>900.58823916963433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934204.04659127898</v>
      </c>
      <c r="J89" s="80">
        <v>6.7709620739423604E-2</v>
      </c>
      <c r="K89" s="80">
        <v>8.5818577051015507E-8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933493.77184218855</v>
      </c>
      <c r="J90" s="80">
        <v>5.4285414557409109E-2</v>
      </c>
      <c r="K90" s="80">
        <v>2.2389139411559413E-8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900588.2391696343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2.033446503996305E-4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-14.315138917931357</v>
      </c>
      <c r="L113" s="3"/>
      <c r="Q113" s="70" t="s">
        <v>304</v>
      </c>
      <c r="R113" s="1">
        <f>R111-2*R112*J113</f>
        <v>0.49303586181057779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1274.8511962993814</v>
      </c>
      <c r="K114" s="79">
        <v>431.79223090773752</v>
      </c>
      <c r="L114" s="3"/>
      <c r="Q114" s="70" t="s">
        <v>305</v>
      </c>
      <c r="R114" s="1">
        <f>point1.Ms-R113*J113-R112*J113^2</f>
        <v>35.580888530466311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121.86421587998476</v>
      </c>
      <c r="K115" s="79">
        <v>26.172083817521038</v>
      </c>
      <c r="L115" s="3"/>
      <c r="Q115" s="1" t="s">
        <v>306</v>
      </c>
      <c r="R115" s="1">
        <f>R114+R113*J116+R112*J116^2</f>
        <v>-263.27669212578502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-1212.3157920349049</v>
      </c>
      <c r="K116" s="79">
        <v>-96.821808855382997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2.8769903713044407</v>
      </c>
      <c r="J119" s="80">
        <v>1.7580010223973566E-4</v>
      </c>
      <c r="K119" s="80">
        <v>1.260094310212921E-10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2.2205671572872858</v>
      </c>
      <c r="J120" s="80">
        <v>1.6339369108840028E-4</v>
      </c>
      <c r="K120" s="80">
        <v>6.7389079710881078E-11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-96.821808855382997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8412.8476431575564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1.0505535851722823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-428.90821899701831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-1106.495792034905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6.9086512516143506E-2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4.9546977092346678E-2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0.14913146625838938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-45.698855457904237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-14.315138917931357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3.1865181524615687E-3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-45.655669996311055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-14.300715358900197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2.1000034587266816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405</v>
      </c>
      <c r="J177" s="4">
        <v>1.5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7" sqref="J177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0" t="s">
        <v>17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</row>
    <row r="4" spans="1:15" s="46" customFormat="1" ht="20.100000000000001" hidden="1" customHeight="1" outlineLevel="1">
      <c r="A4" s="47" t="s">
        <v>16</v>
      </c>
      <c r="B4" s="182" t="s">
        <v>15</v>
      </c>
      <c r="C4" s="182"/>
      <c r="D4" s="182"/>
      <c r="E4" s="182"/>
      <c r="F4" s="182"/>
      <c r="G4" s="18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4"/>
      <c r="C5" s="175"/>
      <c r="D5" s="175"/>
      <c r="E5" s="175"/>
      <c r="F5" s="175"/>
      <c r="G5" s="17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4"/>
      <c r="C6" s="175"/>
      <c r="D6" s="175"/>
      <c r="E6" s="175"/>
      <c r="F6" s="175"/>
      <c r="G6" s="17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4"/>
      <c r="C7" s="175"/>
      <c r="D7" s="175"/>
      <c r="E7" s="175"/>
      <c r="F7" s="175"/>
      <c r="G7" s="17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4"/>
      <c r="C8" s="175"/>
      <c r="D8" s="175"/>
      <c r="E8" s="175"/>
      <c r="F8" s="175"/>
      <c r="G8" s="17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4"/>
      <c r="C9" s="175"/>
      <c r="D9" s="175"/>
      <c r="E9" s="175"/>
      <c r="F9" s="175"/>
      <c r="G9" s="17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101</v>
      </c>
      <c r="C13" s="177"/>
      <c r="D13" s="179" t="str">
        <f>Gap30deg!D13</f>
        <v>SP2200052</v>
      </c>
      <c r="E13" s="179"/>
      <c r="F13" s="179"/>
      <c r="G13" s="179"/>
      <c r="H13" s="179"/>
      <c r="I13" s="179"/>
      <c r="J13" s="179"/>
      <c r="K13" s="179"/>
      <c r="L13" s="86"/>
    </row>
    <row r="14" spans="1:15" s="85" customFormat="1" ht="20.100000000000001" customHeight="1" outlineLevel="1">
      <c r="A14" s="87"/>
      <c r="B14" s="177" t="s">
        <v>100</v>
      </c>
      <c r="C14" s="177"/>
      <c r="D14" s="179" t="str">
        <f>Gap30deg!D14</f>
        <v>Stichting GROW</v>
      </c>
      <c r="E14" s="179"/>
      <c r="F14" s="179"/>
      <c r="G14" s="179"/>
      <c r="H14" s="179"/>
      <c r="I14" s="179"/>
      <c r="J14" s="179"/>
      <c r="K14" s="179"/>
      <c r="L14" s="86"/>
    </row>
    <row r="15" spans="1:15" s="85" customFormat="1" ht="20.100000000000001" customHeight="1" outlineLevel="1">
      <c r="A15" s="87"/>
      <c r="B15" s="177" t="s">
        <v>99</v>
      </c>
      <c r="C15" s="177"/>
      <c r="D15" s="179" t="str">
        <f>Gap30deg!D15</f>
        <v>Bolt and Beautiful</v>
      </c>
      <c r="E15" s="179"/>
      <c r="F15" s="179"/>
      <c r="G15" s="179"/>
      <c r="H15" s="179"/>
      <c r="I15" s="179"/>
      <c r="J15" s="179"/>
      <c r="K15" s="179"/>
      <c r="L15" s="86"/>
    </row>
    <row r="16" spans="1:15" s="85" customFormat="1" ht="20.100000000000001" customHeight="1" outlineLevel="1">
      <c r="A16" s="87"/>
      <c r="B16" s="177" t="s">
        <v>98</v>
      </c>
      <c r="C16" s="177"/>
      <c r="D16" s="179" t="str">
        <f>Title</f>
        <v>Flange Segment Analytical Model for 60° gap size</v>
      </c>
      <c r="E16" s="179"/>
      <c r="F16" s="179"/>
      <c r="G16" s="179"/>
      <c r="H16" s="179"/>
      <c r="I16" s="179"/>
      <c r="J16" s="179"/>
      <c r="K16" s="179"/>
      <c r="L16" s="86"/>
      <c r="M16" s="88"/>
    </row>
    <row r="17" spans="1:22" s="85" customFormat="1" ht="20.100000000000001" customHeight="1" outlineLevel="1">
      <c r="A17" s="87"/>
      <c r="B17" s="177" t="s">
        <v>97</v>
      </c>
      <c r="C17" s="177"/>
      <c r="D17" s="179" t="str">
        <f>Gap30deg!D17</f>
        <v>0.10</v>
      </c>
      <c r="E17" s="179"/>
      <c r="F17" s="179"/>
      <c r="G17" s="179"/>
      <c r="H17" s="179"/>
      <c r="I17" s="179"/>
      <c r="J17" s="179"/>
      <c r="K17" s="179"/>
      <c r="L17" s="86"/>
    </row>
    <row r="18" spans="1:22" s="85" customFormat="1" ht="20.100000000000001" customHeight="1" outlineLevel="1">
      <c r="A18" s="87"/>
      <c r="B18" s="177" t="s">
        <v>96</v>
      </c>
      <c r="C18" s="177"/>
      <c r="D18" s="178">
        <f>Gap30deg!D18</f>
        <v>45432</v>
      </c>
      <c r="E18" s="178"/>
      <c r="F18" s="178"/>
      <c r="G18" s="178"/>
      <c r="H18" s="178"/>
      <c r="I18" s="178"/>
      <c r="J18" s="178"/>
      <c r="K18" s="17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4"/>
      <c r="C28" s="185"/>
      <c r="D28" s="185"/>
      <c r="E28" s="185"/>
      <c r="F28" s="185"/>
      <c r="G28" s="185"/>
      <c r="H28" s="185"/>
      <c r="I28" s="185"/>
      <c r="J28" s="185"/>
      <c r="K28" s="18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-1302.1443127481327</v>
      </c>
      <c r="P66" s="71">
        <v>-1276.0645843710888</v>
      </c>
      <c r="Q66" s="71">
        <v>-1249.9848559940447</v>
      </c>
      <c r="R66" s="71">
        <v>-1223.9051276170005</v>
      </c>
      <c r="S66" s="71">
        <v>-1197.8253992399566</v>
      </c>
      <c r="T66" s="71">
        <v>-1171.7456708629124</v>
      </c>
      <c r="U66" s="71">
        <v>-1145.6659424858685</v>
      </c>
      <c r="V66" s="71">
        <v>-1119.5862141088242</v>
      </c>
      <c r="W66" s="71">
        <v>-1093.5064857317802</v>
      </c>
      <c r="X66" s="71">
        <v>-1067.4267573547363</v>
      </c>
      <c r="Y66" s="71">
        <v>-1041.3470289776922</v>
      </c>
      <c r="Z66" s="71">
        <v>-1015.2673006006481</v>
      </c>
      <c r="AA66" s="71">
        <v>-989.18757222360421</v>
      </c>
      <c r="AB66" s="71">
        <v>-963.10784384655994</v>
      </c>
      <c r="AC66" s="71">
        <v>-937.02811546951602</v>
      </c>
      <c r="AD66" s="71">
        <v>-910.94838709247199</v>
      </c>
      <c r="AE66" s="71">
        <v>-884.86865871542784</v>
      </c>
      <c r="AF66" s="71">
        <v>-858.78893033838392</v>
      </c>
      <c r="AG66" s="71">
        <v>-832.70920196133977</v>
      </c>
      <c r="AH66" s="71">
        <v>-806.62947358429574</v>
      </c>
      <c r="AI66" s="71">
        <v>-780.5497452072517</v>
      </c>
      <c r="AJ66" s="71">
        <v>-754.47001683020767</v>
      </c>
      <c r="AK66" s="71">
        <v>-728.39028845316363</v>
      </c>
      <c r="AL66" s="71">
        <v>-702.31056007611949</v>
      </c>
      <c r="AM66" s="71">
        <v>-676.23083169907557</v>
      </c>
      <c r="AN66" s="71">
        <v>-650.15110332203142</v>
      </c>
      <c r="AO66" s="71">
        <v>-624.07137494498738</v>
      </c>
      <c r="AP66" s="71">
        <v>-597.99164656794335</v>
      </c>
      <c r="AQ66" s="71">
        <v>-571.91191819089931</v>
      </c>
      <c r="AR66" s="71">
        <v>-545.83218981385517</v>
      </c>
      <c r="AS66" s="71">
        <v>-519.75246143681113</v>
      </c>
      <c r="AT66" s="71">
        <v>-493.67273305976715</v>
      </c>
      <c r="AU66" s="71">
        <v>-467.59300468272306</v>
      </c>
      <c r="AV66" s="71">
        <v>-441.51327630567897</v>
      </c>
      <c r="AW66" s="71">
        <v>-415.43354792863505</v>
      </c>
      <c r="AX66" s="71">
        <v>-389.35381955159096</v>
      </c>
      <c r="AY66" s="71">
        <v>-363.27409117454687</v>
      </c>
      <c r="AZ66" s="71">
        <v>-337.19436279750278</v>
      </c>
      <c r="BA66" s="71">
        <v>-311.1146344204588</v>
      </c>
      <c r="BB66" s="71">
        <v>-285.03490604341471</v>
      </c>
      <c r="BC66" s="71">
        <v>-258.95517766637062</v>
      </c>
      <c r="BD66" s="71">
        <v>-232.87544928932655</v>
      </c>
      <c r="BE66" s="71">
        <v>-206.79572091228258</v>
      </c>
      <c r="BF66" s="71">
        <v>-180.71599253523863</v>
      </c>
      <c r="BG66" s="71">
        <v>-154.63626415819442</v>
      </c>
      <c r="BH66" s="71">
        <v>-128.55653578115044</v>
      </c>
      <c r="BI66" s="71">
        <v>-102.47680740410625</v>
      </c>
      <c r="BJ66" s="71">
        <v>-76.397079027062276</v>
      </c>
      <c r="BK66" s="71">
        <v>-50.317350650018312</v>
      </c>
      <c r="BL66" s="71">
        <v>-24.237622272974114</v>
      </c>
      <c r="BM66" s="71">
        <v>1.842106104069855</v>
      </c>
      <c r="BN66" s="71">
        <v>27.921834481113823</v>
      </c>
      <c r="BO66" s="71">
        <v>54.001562858158024</v>
      </c>
      <c r="BP66" s="71">
        <v>80.081291235201988</v>
      </c>
      <c r="BQ66" s="71">
        <v>106.16101961224597</v>
      </c>
      <c r="BR66" s="71">
        <v>132.24074798929016</v>
      </c>
      <c r="BS66" s="71">
        <v>158.32047636633413</v>
      </c>
      <c r="BT66" s="71">
        <v>184.40020474337808</v>
      </c>
      <c r="BU66" s="71">
        <v>210.47993312042229</v>
      </c>
      <c r="BV66" s="71">
        <v>236.55966149746627</v>
      </c>
      <c r="BW66" s="71">
        <v>262.63938987451047</v>
      </c>
      <c r="BX66" s="71">
        <v>288.71911825155445</v>
      </c>
      <c r="BY66" s="71">
        <v>314.79884662859843</v>
      </c>
      <c r="BZ66" s="71">
        <v>340.87857500564263</v>
      </c>
      <c r="CA66" s="71">
        <v>366.95830338268655</v>
      </c>
      <c r="CB66" s="71">
        <v>393.03803175973053</v>
      </c>
      <c r="CC66" s="71">
        <v>419.11776013677473</v>
      </c>
      <c r="CD66" s="71">
        <v>445.19748851381871</v>
      </c>
      <c r="CE66" s="71">
        <v>471.27721689086269</v>
      </c>
      <c r="CF66" s="71">
        <v>497.35694526790689</v>
      </c>
      <c r="CG66" s="71">
        <v>523.43667364495082</v>
      </c>
      <c r="CH66" s="71">
        <v>549.51640202199508</v>
      </c>
      <c r="CI66" s="71">
        <v>575.596130399039</v>
      </c>
      <c r="CJ66" s="71">
        <v>601.67585877608303</v>
      </c>
      <c r="CK66" s="71">
        <v>627.75558715312718</v>
      </c>
      <c r="CL66" s="71">
        <v>653.8353155301711</v>
      </c>
      <c r="CM66" s="71">
        <v>679.91504390721514</v>
      </c>
      <c r="CN66" s="71">
        <v>705.99477228425928</v>
      </c>
      <c r="CO66" s="71">
        <v>732.07450066130332</v>
      </c>
      <c r="CP66" s="71">
        <v>758.15422903834724</v>
      </c>
      <c r="CQ66" s="71">
        <v>784.2339574153915</v>
      </c>
      <c r="CR66" s="71">
        <v>810.31368579243542</v>
      </c>
      <c r="CS66" s="71">
        <v>836.39341416947968</v>
      </c>
      <c r="CT66" s="71">
        <v>862.47314254652338</v>
      </c>
      <c r="CU66" s="71">
        <v>888.55287092356753</v>
      </c>
      <c r="CV66" s="71">
        <v>914.63259930061179</v>
      </c>
      <c r="CW66" s="71">
        <v>940.71232767765548</v>
      </c>
      <c r="CX66" s="71">
        <v>966.79205605469974</v>
      </c>
      <c r="CY66" s="71">
        <v>992.87178443174389</v>
      </c>
      <c r="CZ66" s="71">
        <v>1018.9515128087876</v>
      </c>
      <c r="DA66" s="71">
        <v>1045.0312411858317</v>
      </c>
      <c r="DB66" s="71">
        <v>1071.1109695628761</v>
      </c>
      <c r="DC66" s="71">
        <v>1097.1906979399203</v>
      </c>
      <c r="DD66" s="71">
        <v>1123.2704263169639</v>
      </c>
      <c r="DE66" s="71">
        <v>1149.3501546940081</v>
      </c>
      <c r="DF66" s="71">
        <v>1175.4298830710525</v>
      </c>
      <c r="DG66" s="71">
        <v>1201.5096114480962</v>
      </c>
      <c r="DH66" s="71">
        <v>1227.5893398251403</v>
      </c>
      <c r="DI66" s="71">
        <v>1253.6690682021845</v>
      </c>
      <c r="DJ66" s="71">
        <v>1279.7487965792282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899.94191757483122</v>
      </c>
      <c r="P67" s="71">
        <v>899.94191757483122</v>
      </c>
      <c r="Q67" s="71">
        <v>899.94191757483122</v>
      </c>
      <c r="R67" s="71">
        <v>899.94766336271709</v>
      </c>
      <c r="S67" s="71">
        <v>899.98095819669868</v>
      </c>
      <c r="T67" s="71">
        <v>900.0439167013451</v>
      </c>
      <c r="U67" s="71">
        <v>900.13653887665646</v>
      </c>
      <c r="V67" s="71">
        <v>900.25882472263254</v>
      </c>
      <c r="W67" s="71">
        <v>900.41077423927368</v>
      </c>
      <c r="X67" s="71">
        <v>900.59238742657965</v>
      </c>
      <c r="Y67" s="71">
        <v>900.80366428455034</v>
      </c>
      <c r="Z67" s="71">
        <v>901.04460481318608</v>
      </c>
      <c r="AA67" s="71">
        <v>901.31520901248678</v>
      </c>
      <c r="AB67" s="71">
        <v>901.61547688245219</v>
      </c>
      <c r="AC67" s="71">
        <v>901.94540842308243</v>
      </c>
      <c r="AD67" s="71">
        <v>902.30500363437773</v>
      </c>
      <c r="AE67" s="71">
        <v>902.69426251633774</v>
      </c>
      <c r="AF67" s="71">
        <v>903.11318506896271</v>
      </c>
      <c r="AG67" s="71">
        <v>903.56177129225262</v>
      </c>
      <c r="AH67" s="71">
        <v>904.04002118620747</v>
      </c>
      <c r="AI67" s="71">
        <v>904.54793475082704</v>
      </c>
      <c r="AJ67" s="71">
        <v>905.08551198611156</v>
      </c>
      <c r="AK67" s="71">
        <v>905.65275289206079</v>
      </c>
      <c r="AL67" s="71">
        <v>906.24965746867508</v>
      </c>
      <c r="AM67" s="71">
        <v>906.87622571595421</v>
      </c>
      <c r="AN67" s="71">
        <v>907.53245763389828</v>
      </c>
      <c r="AO67" s="71">
        <v>908.21835322250718</v>
      </c>
      <c r="AP67" s="71">
        <v>908.93391248178091</v>
      </c>
      <c r="AQ67" s="71">
        <v>909.67913541171959</v>
      </c>
      <c r="AR67" s="71">
        <v>910.45402201232298</v>
      </c>
      <c r="AS67" s="71">
        <v>911.25857228359155</v>
      </c>
      <c r="AT67" s="71">
        <v>912.09278622552472</v>
      </c>
      <c r="AU67" s="71">
        <v>912.95666383812295</v>
      </c>
      <c r="AV67" s="71">
        <v>913.85020512138601</v>
      </c>
      <c r="AW67" s="71">
        <v>914.7734100753139</v>
      </c>
      <c r="AX67" s="71">
        <v>915.72627869990674</v>
      </c>
      <c r="AY67" s="71">
        <v>916.70881099516441</v>
      </c>
      <c r="AZ67" s="71">
        <v>917.72100696108703</v>
      </c>
      <c r="BA67" s="71">
        <v>918.76286659767447</v>
      </c>
      <c r="BB67" s="71">
        <v>919.83438990492675</v>
      </c>
      <c r="BC67" s="71">
        <v>920.93557688284397</v>
      </c>
      <c r="BD67" s="71">
        <v>922.06642753142603</v>
      </c>
      <c r="BE67" s="71">
        <v>923.22694185067292</v>
      </c>
      <c r="BF67" s="71">
        <v>924.41711984058486</v>
      </c>
      <c r="BG67" s="71">
        <v>925.63696150116152</v>
      </c>
      <c r="BH67" s="71">
        <v>926.88646683240313</v>
      </c>
      <c r="BI67" s="71">
        <v>928.16645249819294</v>
      </c>
      <c r="BJ67" s="71">
        <v>929.53772310886563</v>
      </c>
      <c r="BK67" s="71">
        <v>931.03805059182241</v>
      </c>
      <c r="BL67" s="71">
        <v>932.66743494706293</v>
      </c>
      <c r="BM67" s="71">
        <v>934.42587617458742</v>
      </c>
      <c r="BN67" s="71">
        <v>936.31337427439576</v>
      </c>
      <c r="BO67" s="71">
        <v>938.32992924648806</v>
      </c>
      <c r="BP67" s="71">
        <v>940.475541090864</v>
      </c>
      <c r="BQ67" s="71">
        <v>942.75020980752402</v>
      </c>
      <c r="BR67" s="71">
        <v>945.15393539646777</v>
      </c>
      <c r="BS67" s="71">
        <v>947.6867178576955</v>
      </c>
      <c r="BT67" s="71">
        <v>950.34855719120708</v>
      </c>
      <c r="BU67" s="71">
        <v>953.13945339700263</v>
      </c>
      <c r="BV67" s="71">
        <v>956.05940647508191</v>
      </c>
      <c r="BW67" s="71">
        <v>959.10841642544517</v>
      </c>
      <c r="BX67" s="71">
        <v>962.28648324809228</v>
      </c>
      <c r="BY67" s="71">
        <v>965.59360694302313</v>
      </c>
      <c r="BZ67" s="71">
        <v>969.02978751023807</v>
      </c>
      <c r="CA67" s="71">
        <v>972.59502494973674</v>
      </c>
      <c r="CB67" s="71">
        <v>976.28931926151938</v>
      </c>
      <c r="CC67" s="71">
        <v>980.11267044558588</v>
      </c>
      <c r="CD67" s="71">
        <v>984.06507850193611</v>
      </c>
      <c r="CE67" s="71">
        <v>988.14654343057043</v>
      </c>
      <c r="CF67" s="71">
        <v>992.3570652314886</v>
      </c>
      <c r="CG67" s="71">
        <v>996.69664390469052</v>
      </c>
      <c r="CH67" s="71">
        <v>1001.1652794501764</v>
      </c>
      <c r="CI67" s="71">
        <v>1005.7629718679461</v>
      </c>
      <c r="CJ67" s="71">
        <v>1010.4897211579997</v>
      </c>
      <c r="CK67" s="71">
        <v>1015.3455273203373</v>
      </c>
      <c r="CL67" s="71">
        <v>1020.3303903549585</v>
      </c>
      <c r="CM67" s="71">
        <v>1025.4443102618638</v>
      </c>
      <c r="CN67" s="71">
        <v>1030.687287041053</v>
      </c>
      <c r="CO67" s="71">
        <v>1036.0593206925257</v>
      </c>
      <c r="CP67" s="71">
        <v>1041.5604112162828</v>
      </c>
      <c r="CQ67" s="71">
        <v>1047.1905586123235</v>
      </c>
      <c r="CR67" s="71">
        <v>1052.949762880648</v>
      </c>
      <c r="CS67" s="71">
        <v>1058.8380240212566</v>
      </c>
      <c r="CT67" s="71">
        <v>1064.8553420341491</v>
      </c>
      <c r="CU67" s="71">
        <v>1071.001716919325</v>
      </c>
      <c r="CV67" s="71">
        <v>1077.2771486767854</v>
      </c>
      <c r="CW67" s="71">
        <v>1083.6816373065294</v>
      </c>
      <c r="CX67" s="71">
        <v>1090.2151828085571</v>
      </c>
      <c r="CY67" s="71">
        <v>1096.877785182869</v>
      </c>
      <c r="CZ67" s="71">
        <v>1103.6694444294644</v>
      </c>
      <c r="DA67" s="71">
        <v>1110.5901605483441</v>
      </c>
      <c r="DB67" s="71">
        <v>1117.6399335395074</v>
      </c>
      <c r="DC67" s="71">
        <v>1124.8187634029546</v>
      </c>
      <c r="DD67" s="71">
        <v>1132.1266501386858</v>
      </c>
      <c r="DE67" s="71">
        <v>1139.5635937467007</v>
      </c>
      <c r="DF67" s="71">
        <v>1147.1295942269996</v>
      </c>
      <c r="DG67" s="71">
        <v>1154.8246515795825</v>
      </c>
      <c r="DH67" s="71">
        <v>1162.6487658044491</v>
      </c>
      <c r="DI67" s="71">
        <v>1170.6019369015996</v>
      </c>
      <c r="DJ67" s="71">
        <v>1178.684164871034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-101.34325734730359</v>
      </c>
      <c r="P68" s="71">
        <v>-101.34325734730359</v>
      </c>
      <c r="Q68" s="71">
        <v>-101.34325734730359</v>
      </c>
      <c r="R68" s="71">
        <v>-101.32551491758667</v>
      </c>
      <c r="S68" s="71">
        <v>-101.22270373423255</v>
      </c>
      <c r="T68" s="71">
        <v>-101.02829404387359</v>
      </c>
      <c r="U68" s="71">
        <v>-100.74228584650977</v>
      </c>
      <c r="V68" s="71">
        <v>-100.36467914214113</v>
      </c>
      <c r="W68" s="71">
        <v>-99.895473930767636</v>
      </c>
      <c r="X68" s="71">
        <v>-99.334670212389312</v>
      </c>
      <c r="Y68" s="71">
        <v>-98.682267987006128</v>
      </c>
      <c r="Z68" s="71">
        <v>-97.938267254618125</v>
      </c>
      <c r="AA68" s="71">
        <v>-97.102668015225277</v>
      </c>
      <c r="AB68" s="71">
        <v>-96.175470268827581</v>
      </c>
      <c r="AC68" s="71">
        <v>-95.15667401542504</v>
      </c>
      <c r="AD68" s="71">
        <v>-94.046279255017666</v>
      </c>
      <c r="AE68" s="71">
        <v>-92.844285987605446</v>
      </c>
      <c r="AF68" s="71">
        <v>-91.550694213188393</v>
      </c>
      <c r="AG68" s="71">
        <v>-90.165503931766509</v>
      </c>
      <c r="AH68" s="71">
        <v>-88.688715143339763</v>
      </c>
      <c r="AI68" s="71">
        <v>-87.120327847908186</v>
      </c>
      <c r="AJ68" s="71">
        <v>-85.460342045471762</v>
      </c>
      <c r="AK68" s="71">
        <v>-83.708757736030492</v>
      </c>
      <c r="AL68" s="71">
        <v>-81.86557491958439</v>
      </c>
      <c r="AM68" s="71">
        <v>-79.930793596133455</v>
      </c>
      <c r="AN68" s="71">
        <v>-77.904413765677674</v>
      </c>
      <c r="AO68" s="71">
        <v>-75.786435428217032</v>
      </c>
      <c r="AP68" s="71">
        <v>-73.576858583751573</v>
      </c>
      <c r="AQ68" s="71">
        <v>-71.275683232281253</v>
      </c>
      <c r="AR68" s="71">
        <v>-68.8829093738061</v>
      </c>
      <c r="AS68" s="71">
        <v>-66.398537008326116</v>
      </c>
      <c r="AT68" s="71">
        <v>-63.822566135841306</v>
      </c>
      <c r="AU68" s="71">
        <v>-61.154996756351622</v>
      </c>
      <c r="AV68" s="71">
        <v>-58.395828869857112</v>
      </c>
      <c r="AW68" s="71">
        <v>-55.545062476357764</v>
      </c>
      <c r="AX68" s="71">
        <v>-52.602697575853568</v>
      </c>
      <c r="AY68" s="71">
        <v>-49.568734168344527</v>
      </c>
      <c r="AZ68" s="71">
        <v>-46.443172253830653</v>
      </c>
      <c r="BA68" s="71">
        <v>-43.22601183231194</v>
      </c>
      <c r="BB68" s="71">
        <v>-39.917252903788381</v>
      </c>
      <c r="BC68" s="71">
        <v>-36.516895468259975</v>
      </c>
      <c r="BD68" s="71">
        <v>-33.02493952572673</v>
      </c>
      <c r="BE68" s="71">
        <v>-29.441385076188656</v>
      </c>
      <c r="BF68" s="71">
        <v>-25.766232119645746</v>
      </c>
      <c r="BG68" s="71">
        <v>-21.999480656097965</v>
      </c>
      <c r="BH68" s="71">
        <v>-18.14113068554537</v>
      </c>
      <c r="BI68" s="71">
        <v>-14.190497855970614</v>
      </c>
      <c r="BJ68" s="71">
        <v>-10.096628820958776</v>
      </c>
      <c r="BK68" s="71">
        <v>-5.827871275018488</v>
      </c>
      <c r="BL68" s="71">
        <v>-1.3842252181497128</v>
      </c>
      <c r="BM68" s="71">
        <v>3.2343093496474724</v>
      </c>
      <c r="BN68" s="71">
        <v>8.0277324283731044</v>
      </c>
      <c r="BO68" s="71">
        <v>12.996044018027233</v>
      </c>
      <c r="BP68" s="71">
        <v>18.139244118609763</v>
      </c>
      <c r="BQ68" s="71">
        <v>23.45733273012074</v>
      </c>
      <c r="BR68" s="71">
        <v>28.950309852560217</v>
      </c>
      <c r="BS68" s="71">
        <v>34.618175485928099</v>
      </c>
      <c r="BT68" s="71">
        <v>40.460929630224413</v>
      </c>
      <c r="BU68" s="71">
        <v>46.478572285449246</v>
      </c>
      <c r="BV68" s="71">
        <v>52.671103451602463</v>
      </c>
      <c r="BW68" s="71">
        <v>59.03852312868419</v>
      </c>
      <c r="BX68" s="71">
        <v>65.580831316694315</v>
      </c>
      <c r="BY68" s="71">
        <v>72.29802801563288</v>
      </c>
      <c r="BZ68" s="71">
        <v>79.190113225499957</v>
      </c>
      <c r="CA68" s="71">
        <v>86.257086946295431</v>
      </c>
      <c r="CB68" s="71">
        <v>93.49894917801933</v>
      </c>
      <c r="CC68" s="71">
        <v>100.91569992067177</v>
      </c>
      <c r="CD68" s="71">
        <v>108.50733917425256</v>
      </c>
      <c r="CE68" s="71">
        <v>116.27386693876183</v>
      </c>
      <c r="CF68" s="71">
        <v>124.2152832141996</v>
      </c>
      <c r="CG68" s="71">
        <v>132.33158800056577</v>
      </c>
      <c r="CH68" s="71">
        <v>140.62278129786043</v>
      </c>
      <c r="CI68" s="71">
        <v>149.08886310608349</v>
      </c>
      <c r="CJ68" s="71">
        <v>157.72983342523497</v>
      </c>
      <c r="CK68" s="71">
        <v>166.545692255315</v>
      </c>
      <c r="CL68" s="71">
        <v>175.53643959632342</v>
      </c>
      <c r="CM68" s="71">
        <v>184.70207544826025</v>
      </c>
      <c r="CN68" s="71">
        <v>194.04259981112563</v>
      </c>
      <c r="CO68" s="71">
        <v>203.55801268491939</v>
      </c>
      <c r="CP68" s="71">
        <v>213.24831406964157</v>
      </c>
      <c r="CQ68" s="71">
        <v>223.11350396529232</v>
      </c>
      <c r="CR68" s="71">
        <v>233.15358237187138</v>
      </c>
      <c r="CS68" s="71">
        <v>243.36854928937902</v>
      </c>
      <c r="CT68" s="71">
        <v>253.75840471781493</v>
      </c>
      <c r="CU68" s="71">
        <v>264.32314865717944</v>
      </c>
      <c r="CV68" s="71">
        <v>275.0627811074724</v>
      </c>
      <c r="CW68" s="71">
        <v>285.97730206869363</v>
      </c>
      <c r="CX68" s="71">
        <v>297.06671154084353</v>
      </c>
      <c r="CY68" s="71">
        <v>308.33100952392181</v>
      </c>
      <c r="CZ68" s="71">
        <v>319.77019601792841</v>
      </c>
      <c r="DA68" s="71">
        <v>331.38427102286369</v>
      </c>
      <c r="DB68" s="71">
        <v>343.17323453872734</v>
      </c>
      <c r="DC68" s="71">
        <v>355.1370865655195</v>
      </c>
      <c r="DD68" s="71">
        <v>367.27582710323981</v>
      </c>
      <c r="DE68" s="71">
        <v>379.5894561518889</v>
      </c>
      <c r="DF68" s="71">
        <v>392.07797371146631</v>
      </c>
      <c r="DG68" s="71">
        <v>404.74137978197206</v>
      </c>
      <c r="DH68" s="71">
        <v>417.57967436340647</v>
      </c>
      <c r="DI68" s="71">
        <v>430.59285745576926</v>
      </c>
      <c r="DJ68" s="71">
        <v>443.78092905906033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1218.808377694503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119.24082943205499</v>
      </c>
      <c r="K85" s="79">
        <v>943.93962236735683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-1240.1374407125074</v>
      </c>
      <c r="K86" s="79">
        <v>899.94191757483122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934297.43513405032</v>
      </c>
      <c r="J89" s="80">
        <v>6.9550337372819029E-2</v>
      </c>
      <c r="K89" s="80">
        <v>9.4873519610868947E-8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933479.24154706195</v>
      </c>
      <c r="J90" s="80">
        <v>5.4086463114866076E-2</v>
      </c>
      <c r="K90" s="80">
        <v>2.1806640675162298E-8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899941.91757483117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-14.702649426616142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1218.808377694503</v>
      </c>
      <c r="K114" s="79">
        <v>413.23753204054498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119.24082943205499</v>
      </c>
      <c r="K115" s="79">
        <v>26.190373880630183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-1240.1374407125074</v>
      </c>
      <c r="K116" s="79">
        <v>-101.34325734730359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2.9023452121561575</v>
      </c>
      <c r="J119" s="80">
        <v>1.7997218926365453E-4</v>
      </c>
      <c r="K119" s="80">
        <v>1.2856571120667745E-10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2.2167113261308864</v>
      </c>
      <c r="J120" s="80">
        <v>1.6701369585928353E-4</v>
      </c>
      <c r="K120" s="80">
        <v>6.7336768642081986E-11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-101.34325734730359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4649.317966345111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1.0279381847590947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-442.08112752188362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-1134.3174407125073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7.0823618697135021E-2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4.9471305682374726E-2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0.1527625421438733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-7.4857300389025105E-14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-46.145330066059394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-14.702649426616196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3.1817105597203308E-3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-46.101722685539585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-14.68788247454947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2.5569687351121253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405</v>
      </c>
      <c r="J177" s="4">
        <v>2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0" t="s">
        <v>17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</row>
    <row r="4" spans="1:15" s="46" customFormat="1" ht="20.100000000000001" hidden="1" customHeight="1" outlineLevel="1">
      <c r="A4" s="47" t="s">
        <v>16</v>
      </c>
      <c r="B4" s="182" t="s">
        <v>15</v>
      </c>
      <c r="C4" s="182"/>
      <c r="D4" s="182"/>
      <c r="E4" s="182"/>
      <c r="F4" s="182"/>
      <c r="G4" s="18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4"/>
      <c r="C5" s="175"/>
      <c r="D5" s="175"/>
      <c r="E5" s="175"/>
      <c r="F5" s="175"/>
      <c r="G5" s="17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4"/>
      <c r="C6" s="175"/>
      <c r="D6" s="175"/>
      <c r="E6" s="175"/>
      <c r="F6" s="175"/>
      <c r="G6" s="17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4"/>
      <c r="C7" s="175"/>
      <c r="D7" s="175"/>
      <c r="E7" s="175"/>
      <c r="F7" s="175"/>
      <c r="G7" s="17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4"/>
      <c r="C8" s="175"/>
      <c r="D8" s="175"/>
      <c r="E8" s="175"/>
      <c r="F8" s="175"/>
      <c r="G8" s="17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4"/>
      <c r="C9" s="175"/>
      <c r="D9" s="175"/>
      <c r="E9" s="175"/>
      <c r="F9" s="175"/>
      <c r="G9" s="17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101</v>
      </c>
      <c r="C13" s="177"/>
      <c r="D13" s="179" t="str">
        <f>Gap30deg!D13</f>
        <v>SP2200052</v>
      </c>
      <c r="E13" s="179"/>
      <c r="F13" s="179"/>
      <c r="G13" s="179"/>
      <c r="H13" s="179"/>
      <c r="I13" s="179"/>
      <c r="J13" s="179"/>
      <c r="K13" s="179"/>
      <c r="L13" s="86"/>
    </row>
    <row r="14" spans="1:15" s="85" customFormat="1" ht="20.100000000000001" customHeight="1" outlineLevel="1">
      <c r="A14" s="87"/>
      <c r="B14" s="177" t="s">
        <v>100</v>
      </c>
      <c r="C14" s="177"/>
      <c r="D14" s="179" t="str">
        <f>Gap30deg!D14</f>
        <v>Stichting GROW</v>
      </c>
      <c r="E14" s="179"/>
      <c r="F14" s="179"/>
      <c r="G14" s="179"/>
      <c r="H14" s="179"/>
      <c r="I14" s="179"/>
      <c r="J14" s="179"/>
      <c r="K14" s="179"/>
      <c r="L14" s="86"/>
    </row>
    <row r="15" spans="1:15" s="85" customFormat="1" ht="20.100000000000001" customHeight="1" outlineLevel="1">
      <c r="A15" s="87"/>
      <c r="B15" s="177" t="s">
        <v>99</v>
      </c>
      <c r="C15" s="177"/>
      <c r="D15" s="179" t="str">
        <f>Gap30deg!D15</f>
        <v>Bolt and Beautiful</v>
      </c>
      <c r="E15" s="179"/>
      <c r="F15" s="179"/>
      <c r="G15" s="179"/>
      <c r="H15" s="179"/>
      <c r="I15" s="179"/>
      <c r="J15" s="179"/>
      <c r="K15" s="179"/>
      <c r="L15" s="86"/>
    </row>
    <row r="16" spans="1:15" s="85" customFormat="1" ht="20.100000000000001" customHeight="1" outlineLevel="1">
      <c r="A16" s="87"/>
      <c r="B16" s="177" t="s">
        <v>98</v>
      </c>
      <c r="C16" s="177"/>
      <c r="D16" s="179" t="str">
        <f>Title</f>
        <v>Flange Segment Analytical Model for 90° gap size</v>
      </c>
      <c r="E16" s="179"/>
      <c r="F16" s="179"/>
      <c r="G16" s="179"/>
      <c r="H16" s="179"/>
      <c r="I16" s="179"/>
      <c r="J16" s="179"/>
      <c r="K16" s="179"/>
      <c r="L16" s="86"/>
      <c r="M16" s="88"/>
    </row>
    <row r="17" spans="1:22" s="85" customFormat="1" ht="20.100000000000001" customHeight="1" outlineLevel="1">
      <c r="A17" s="87"/>
      <c r="B17" s="177" t="s">
        <v>97</v>
      </c>
      <c r="C17" s="177"/>
      <c r="D17" s="179" t="str">
        <f>Gap30deg!D17</f>
        <v>0.10</v>
      </c>
      <c r="E17" s="179"/>
      <c r="F17" s="179"/>
      <c r="G17" s="179"/>
      <c r="H17" s="179"/>
      <c r="I17" s="179"/>
      <c r="J17" s="179"/>
      <c r="K17" s="179"/>
      <c r="L17" s="86"/>
    </row>
    <row r="18" spans="1:22" s="85" customFormat="1" ht="20.100000000000001" customHeight="1" outlineLevel="1">
      <c r="A18" s="87"/>
      <c r="B18" s="177" t="s">
        <v>96</v>
      </c>
      <c r="C18" s="177"/>
      <c r="D18" s="178">
        <f>Gap30deg!D18</f>
        <v>45432</v>
      </c>
      <c r="E18" s="178"/>
      <c r="F18" s="178"/>
      <c r="G18" s="178"/>
      <c r="H18" s="178"/>
      <c r="I18" s="178"/>
      <c r="J18" s="178"/>
      <c r="K18" s="17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4"/>
      <c r="C28" s="185"/>
      <c r="D28" s="185"/>
      <c r="E28" s="185"/>
      <c r="F28" s="185"/>
      <c r="G28" s="185"/>
      <c r="H28" s="185"/>
      <c r="I28" s="185"/>
      <c r="J28" s="185"/>
      <c r="K28" s="18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-1369.7800304306859</v>
      </c>
      <c r="P66" s="71">
        <v>-1343.8197256851945</v>
      </c>
      <c r="Q66" s="71">
        <v>-1317.8594209397033</v>
      </c>
      <c r="R66" s="71">
        <v>-1291.899116194212</v>
      </c>
      <c r="S66" s="71">
        <v>-1265.9388114487206</v>
      </c>
      <c r="T66" s="71">
        <v>-1239.9785067032292</v>
      </c>
      <c r="U66" s="71">
        <v>-1214.018201957738</v>
      </c>
      <c r="V66" s="71">
        <v>-1188.0578972122464</v>
      </c>
      <c r="W66" s="71">
        <v>-1162.0975924667553</v>
      </c>
      <c r="X66" s="71">
        <v>-1136.1372877212639</v>
      </c>
      <c r="Y66" s="71">
        <v>-1110.1769829757725</v>
      </c>
      <c r="Z66" s="71">
        <v>-1084.2166782302813</v>
      </c>
      <c r="AA66" s="71">
        <v>-1058.2563734847899</v>
      </c>
      <c r="AB66" s="71">
        <v>-1032.2960687392986</v>
      </c>
      <c r="AC66" s="71">
        <v>-1006.3357639938072</v>
      </c>
      <c r="AD66" s="71">
        <v>-980.37545924831579</v>
      </c>
      <c r="AE66" s="71">
        <v>-954.41515450282441</v>
      </c>
      <c r="AF66" s="71">
        <v>-928.45484975733302</v>
      </c>
      <c r="AG66" s="71">
        <v>-902.49454501184186</v>
      </c>
      <c r="AH66" s="71">
        <v>-876.53424026635048</v>
      </c>
      <c r="AI66" s="71">
        <v>-850.5739355208591</v>
      </c>
      <c r="AJ66" s="71">
        <v>-824.61363077536771</v>
      </c>
      <c r="AK66" s="71">
        <v>-798.65332602987633</v>
      </c>
      <c r="AL66" s="71">
        <v>-772.69302128438517</v>
      </c>
      <c r="AM66" s="71">
        <v>-746.73271653889378</v>
      </c>
      <c r="AN66" s="71">
        <v>-720.7724117934024</v>
      </c>
      <c r="AO66" s="71">
        <v>-694.81210704791101</v>
      </c>
      <c r="AP66" s="71">
        <v>-668.85180230241963</v>
      </c>
      <c r="AQ66" s="71">
        <v>-642.89149755692836</v>
      </c>
      <c r="AR66" s="71">
        <v>-616.93119281143709</v>
      </c>
      <c r="AS66" s="71">
        <v>-590.9708880659457</v>
      </c>
      <c r="AT66" s="71">
        <v>-565.01058332045432</v>
      </c>
      <c r="AU66" s="71">
        <v>-539.05027857496293</v>
      </c>
      <c r="AV66" s="71">
        <v>-513.08997382947166</v>
      </c>
      <c r="AW66" s="71">
        <v>-487.12966908398027</v>
      </c>
      <c r="AX66" s="71">
        <v>-461.16936433848889</v>
      </c>
      <c r="AY66" s="71">
        <v>-435.20905959299768</v>
      </c>
      <c r="AZ66" s="71">
        <v>-409.24875484750629</v>
      </c>
      <c r="BA66" s="71">
        <v>-383.28845010201491</v>
      </c>
      <c r="BB66" s="71">
        <v>-357.32814535652358</v>
      </c>
      <c r="BC66" s="71">
        <v>-331.36784061103219</v>
      </c>
      <c r="BD66" s="71">
        <v>-305.40753586554086</v>
      </c>
      <c r="BE66" s="71">
        <v>-279.44723112004948</v>
      </c>
      <c r="BF66" s="71">
        <v>-253.48692637455812</v>
      </c>
      <c r="BG66" s="71">
        <v>-227.52662162906677</v>
      </c>
      <c r="BH66" s="71">
        <v>-201.56631688357564</v>
      </c>
      <c r="BI66" s="71">
        <v>-175.60601213808428</v>
      </c>
      <c r="BJ66" s="71">
        <v>-149.64570739259293</v>
      </c>
      <c r="BK66" s="71">
        <v>-123.68540264710155</v>
      </c>
      <c r="BL66" s="71">
        <v>-97.725097901610198</v>
      </c>
      <c r="BM66" s="71">
        <v>-71.764793156118827</v>
      </c>
      <c r="BN66" s="71">
        <v>-45.804488410627471</v>
      </c>
      <c r="BO66" s="71">
        <v>-19.844183665136107</v>
      </c>
      <c r="BP66" s="71">
        <v>6.1161210803552528</v>
      </c>
      <c r="BQ66" s="71">
        <v>32.076425825846613</v>
      </c>
      <c r="BR66" s="71">
        <v>58.036730571337976</v>
      </c>
      <c r="BS66" s="71">
        <v>83.99703531682934</v>
      </c>
      <c r="BT66" s="71">
        <v>109.9573400623207</v>
      </c>
      <c r="BU66" s="71">
        <v>135.91764480781183</v>
      </c>
      <c r="BV66" s="71">
        <v>161.87794955330318</v>
      </c>
      <c r="BW66" s="71">
        <v>187.83825429879454</v>
      </c>
      <c r="BX66" s="71">
        <v>213.79855904428592</v>
      </c>
      <c r="BY66" s="71">
        <v>239.75886378977728</v>
      </c>
      <c r="BZ66" s="71">
        <v>265.71916853526864</v>
      </c>
      <c r="CA66" s="71">
        <v>291.67947328076002</v>
      </c>
      <c r="CB66" s="71">
        <v>317.63977802625135</v>
      </c>
      <c r="CC66" s="71">
        <v>343.60008277174273</v>
      </c>
      <c r="CD66" s="71">
        <v>369.56038751723406</v>
      </c>
      <c r="CE66" s="71">
        <v>395.52069226272545</v>
      </c>
      <c r="CF66" s="71">
        <v>421.48099700821678</v>
      </c>
      <c r="CG66" s="71">
        <v>447.44130175370816</v>
      </c>
      <c r="CH66" s="71">
        <v>473.40160649919932</v>
      </c>
      <c r="CI66" s="71">
        <v>499.36191124469065</v>
      </c>
      <c r="CJ66" s="71">
        <v>525.32221599018203</v>
      </c>
      <c r="CK66" s="71">
        <v>551.28252073567342</v>
      </c>
      <c r="CL66" s="71">
        <v>577.24282548116469</v>
      </c>
      <c r="CM66" s="71">
        <v>603.20313022665607</v>
      </c>
      <c r="CN66" s="71">
        <v>629.16343497214746</v>
      </c>
      <c r="CO66" s="71">
        <v>655.12373971763884</v>
      </c>
      <c r="CP66" s="71">
        <v>681.08404446313023</v>
      </c>
      <c r="CQ66" s="71">
        <v>707.0443492086215</v>
      </c>
      <c r="CR66" s="71">
        <v>733.00465395411265</v>
      </c>
      <c r="CS66" s="71">
        <v>758.96495869960427</v>
      </c>
      <c r="CT66" s="71">
        <v>784.92526344509542</v>
      </c>
      <c r="CU66" s="71">
        <v>810.88556819058704</v>
      </c>
      <c r="CV66" s="71">
        <v>836.84587293607808</v>
      </c>
      <c r="CW66" s="71">
        <v>862.80617768156969</v>
      </c>
      <c r="CX66" s="71">
        <v>888.76648242706085</v>
      </c>
      <c r="CY66" s="71">
        <v>914.72678717255246</v>
      </c>
      <c r="CZ66" s="71">
        <v>940.68709191804351</v>
      </c>
      <c r="DA66" s="71">
        <v>966.64739666353466</v>
      </c>
      <c r="DB66" s="71">
        <v>992.60770140902628</v>
      </c>
      <c r="DC66" s="71">
        <v>1018.5680061545174</v>
      </c>
      <c r="DD66" s="71">
        <v>1044.528310900009</v>
      </c>
      <c r="DE66" s="71">
        <v>1070.4886156455002</v>
      </c>
      <c r="DF66" s="71">
        <v>1096.4489203909918</v>
      </c>
      <c r="DG66" s="71">
        <v>1122.4092251364827</v>
      </c>
      <c r="DH66" s="71">
        <v>1148.3695298819744</v>
      </c>
      <c r="DI66" s="71">
        <v>1174.3298346274655</v>
      </c>
      <c r="DJ66" s="71">
        <v>1200.2901393729571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897.67465600710159</v>
      </c>
      <c r="P67" s="71">
        <v>897.67465600710159</v>
      </c>
      <c r="Q67" s="71">
        <v>897.67465600710159</v>
      </c>
      <c r="R67" s="71">
        <v>897.67803485328182</v>
      </c>
      <c r="S67" s="71">
        <v>897.70612202561074</v>
      </c>
      <c r="T67" s="71">
        <v>897.76265451699294</v>
      </c>
      <c r="U67" s="71">
        <v>897.84763232742819</v>
      </c>
      <c r="V67" s="71">
        <v>897.9610554569166</v>
      </c>
      <c r="W67" s="71">
        <v>898.10292390545806</v>
      </c>
      <c r="X67" s="71">
        <v>898.27323767305256</v>
      </c>
      <c r="Y67" s="71">
        <v>898.47199675970023</v>
      </c>
      <c r="Z67" s="71">
        <v>898.69920116540106</v>
      </c>
      <c r="AA67" s="71">
        <v>898.95485089015483</v>
      </c>
      <c r="AB67" s="71">
        <v>899.23894593396187</v>
      </c>
      <c r="AC67" s="71">
        <v>899.55148629682185</v>
      </c>
      <c r="AD67" s="71">
        <v>899.8924719787351</v>
      </c>
      <c r="AE67" s="71">
        <v>900.2619029797014</v>
      </c>
      <c r="AF67" s="71">
        <v>900.65977929972075</v>
      </c>
      <c r="AG67" s="71">
        <v>901.08610093879327</v>
      </c>
      <c r="AH67" s="71">
        <v>901.54086789691883</v>
      </c>
      <c r="AI67" s="71">
        <v>902.02408017409743</v>
      </c>
      <c r="AJ67" s="71">
        <v>902.53573777032921</v>
      </c>
      <c r="AK67" s="71">
        <v>903.07584068561414</v>
      </c>
      <c r="AL67" s="71">
        <v>903.64438891995223</v>
      </c>
      <c r="AM67" s="71">
        <v>904.24138247334326</v>
      </c>
      <c r="AN67" s="71">
        <v>904.86682134578746</v>
      </c>
      <c r="AO67" s="71">
        <v>905.5207055372847</v>
      </c>
      <c r="AP67" s="71">
        <v>906.20303504783521</v>
      </c>
      <c r="AQ67" s="71">
        <v>906.91380987743867</v>
      </c>
      <c r="AR67" s="71">
        <v>907.65303002609517</v>
      </c>
      <c r="AS67" s="71">
        <v>908.42069549380494</v>
      </c>
      <c r="AT67" s="71">
        <v>909.21680628056777</v>
      </c>
      <c r="AU67" s="71">
        <v>910.04136238638375</v>
      </c>
      <c r="AV67" s="71">
        <v>910.89436381125279</v>
      </c>
      <c r="AW67" s="71">
        <v>911.77581055517487</v>
      </c>
      <c r="AX67" s="71">
        <v>912.68570261815</v>
      </c>
      <c r="AY67" s="71">
        <v>913.62404000017841</v>
      </c>
      <c r="AZ67" s="71">
        <v>914.59082270125987</v>
      </c>
      <c r="BA67" s="71">
        <v>915.58605072139437</v>
      </c>
      <c r="BB67" s="71">
        <v>916.60972406058204</v>
      </c>
      <c r="BC67" s="71">
        <v>917.66184271882275</v>
      </c>
      <c r="BD67" s="71">
        <v>918.74240669611652</v>
      </c>
      <c r="BE67" s="71">
        <v>919.85141599246356</v>
      </c>
      <c r="BF67" s="71">
        <v>920.98887060786353</v>
      </c>
      <c r="BG67" s="71">
        <v>922.15477054231667</v>
      </c>
      <c r="BH67" s="71">
        <v>923.34911579582297</v>
      </c>
      <c r="BI67" s="71">
        <v>924.57190636838232</v>
      </c>
      <c r="BJ67" s="71">
        <v>925.82314225999471</v>
      </c>
      <c r="BK67" s="71">
        <v>927.10282347066038</v>
      </c>
      <c r="BL67" s="71">
        <v>928.41665839989298</v>
      </c>
      <c r="BM67" s="71">
        <v>929.84855367555735</v>
      </c>
      <c r="BN67" s="71">
        <v>931.42631390565032</v>
      </c>
      <c r="BO67" s="71">
        <v>933.14993909017176</v>
      </c>
      <c r="BP67" s="71">
        <v>935.01942922912156</v>
      </c>
      <c r="BQ67" s="71">
        <v>937.03478432249983</v>
      </c>
      <c r="BR67" s="71">
        <v>939.1960043703067</v>
      </c>
      <c r="BS67" s="71">
        <v>941.50308937254204</v>
      </c>
      <c r="BT67" s="71">
        <v>943.95603932920585</v>
      </c>
      <c r="BU67" s="71">
        <v>946.55485424029814</v>
      </c>
      <c r="BV67" s="71">
        <v>949.29953410581891</v>
      </c>
      <c r="BW67" s="71">
        <v>952.19007892576826</v>
      </c>
      <c r="BX67" s="71">
        <v>955.22648870014598</v>
      </c>
      <c r="BY67" s="71">
        <v>958.40876342895228</v>
      </c>
      <c r="BZ67" s="71">
        <v>961.73690311218706</v>
      </c>
      <c r="CA67" s="71">
        <v>965.21090774985032</v>
      </c>
      <c r="CB67" s="71">
        <v>968.83077734194205</v>
      </c>
      <c r="CC67" s="71">
        <v>972.59651188846226</v>
      </c>
      <c r="CD67" s="71">
        <v>976.50811138941106</v>
      </c>
      <c r="CE67" s="71">
        <v>980.56557584478821</v>
      </c>
      <c r="CF67" s="71">
        <v>984.76890525459396</v>
      </c>
      <c r="CG67" s="71">
        <v>989.11809961882807</v>
      </c>
      <c r="CH67" s="71">
        <v>993.61315893749077</v>
      </c>
      <c r="CI67" s="71">
        <v>998.25408321058194</v>
      </c>
      <c r="CJ67" s="71">
        <v>1003.0408724381016</v>
      </c>
      <c r="CK67" s="71">
        <v>1007.9735266200497</v>
      </c>
      <c r="CL67" s="71">
        <v>1013.0520457564263</v>
      </c>
      <c r="CM67" s="71">
        <v>1018.2764298472315</v>
      </c>
      <c r="CN67" s="71">
        <v>1023.646678892465</v>
      </c>
      <c r="CO67" s="71">
        <v>1029.1627928921271</v>
      </c>
      <c r="CP67" s="71">
        <v>1034.8247718462178</v>
      </c>
      <c r="CQ67" s="71">
        <v>1040.6326157547369</v>
      </c>
      <c r="CR67" s="71">
        <v>1046.5863246176843</v>
      </c>
      <c r="CS67" s="71">
        <v>1052.6858984350606</v>
      </c>
      <c r="CT67" s="71">
        <v>1058.931337206865</v>
      </c>
      <c r="CU67" s="71">
        <v>1065.3226409330982</v>
      </c>
      <c r="CV67" s="71">
        <v>1071.8598096137596</v>
      </c>
      <c r="CW67" s="71">
        <v>1078.5428432488497</v>
      </c>
      <c r="CX67" s="71">
        <v>1085.3717418383681</v>
      </c>
      <c r="CY67" s="71">
        <v>1092.3465053823152</v>
      </c>
      <c r="CZ67" s="71">
        <v>1099.4671338806907</v>
      </c>
      <c r="DA67" s="71">
        <v>1106.7336273334945</v>
      </c>
      <c r="DB67" s="71">
        <v>1114.1459857407272</v>
      </c>
      <c r="DC67" s="71">
        <v>1121.7042091023879</v>
      </c>
      <c r="DD67" s="71">
        <v>1129.4082974184776</v>
      </c>
      <c r="DE67" s="71">
        <v>1137.2582506889955</v>
      </c>
      <c r="DF67" s="71">
        <v>1145.2540689139419</v>
      </c>
      <c r="DG67" s="71">
        <v>1153.3957520933168</v>
      </c>
      <c r="DH67" s="71">
        <v>1161.6833002271203</v>
      </c>
      <c r="DI67" s="71">
        <v>1170.1167133153522</v>
      </c>
      <c r="DJ67" s="71">
        <v>1178.6959913580126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-110.69284875995191</v>
      </c>
      <c r="P68" s="71">
        <v>-110.69284875995191</v>
      </c>
      <c r="Q68" s="71">
        <v>-110.69284875995191</v>
      </c>
      <c r="R68" s="71">
        <v>-110.68222212912265</v>
      </c>
      <c r="S68" s="71">
        <v>-110.59388664550882</v>
      </c>
      <c r="T68" s="71">
        <v>-110.41608928991769</v>
      </c>
      <c r="U68" s="71">
        <v>-110.14883006234926</v>
      </c>
      <c r="V68" s="71">
        <v>-109.79210896280354</v>
      </c>
      <c r="W68" s="71">
        <v>-109.34592599128051</v>
      </c>
      <c r="X68" s="71">
        <v>-108.81028114778017</v>
      </c>
      <c r="Y68" s="71">
        <v>-108.18517443230256</v>
      </c>
      <c r="Z68" s="71">
        <v>-107.47060584484763</v>
      </c>
      <c r="AA68" s="71">
        <v>-106.6665753854154</v>
      </c>
      <c r="AB68" s="71">
        <v>-105.77308305400587</v>
      </c>
      <c r="AC68" s="71">
        <v>-104.79012885061903</v>
      </c>
      <c r="AD68" s="71">
        <v>-103.7177127752549</v>
      </c>
      <c r="AE68" s="71">
        <v>-102.55583482791346</v>
      </c>
      <c r="AF68" s="71">
        <v>-101.30449500859474</v>
      </c>
      <c r="AG68" s="71">
        <v>-99.96369331729872</v>
      </c>
      <c r="AH68" s="71">
        <v>-98.533429754025377</v>
      </c>
      <c r="AI68" s="71">
        <v>-97.013704318774742</v>
      </c>
      <c r="AJ68" s="71">
        <v>-95.404517011546815</v>
      </c>
      <c r="AK68" s="71">
        <v>-93.705867832341582</v>
      </c>
      <c r="AL68" s="71">
        <v>-91.917756781159056</v>
      </c>
      <c r="AM68" s="71">
        <v>-90.040183857999224</v>
      </c>
      <c r="AN68" s="71">
        <v>-88.0731490628621</v>
      </c>
      <c r="AO68" s="71">
        <v>-86.016652395747656</v>
      </c>
      <c r="AP68" s="71">
        <v>-83.870693856655919</v>
      </c>
      <c r="AQ68" s="71">
        <v>-81.635273445586876</v>
      </c>
      <c r="AR68" s="71">
        <v>-79.310391162540554</v>
      </c>
      <c r="AS68" s="71">
        <v>-76.896047007516927</v>
      </c>
      <c r="AT68" s="71">
        <v>-74.392240980516007</v>
      </c>
      <c r="AU68" s="71">
        <v>-71.798973081537753</v>
      </c>
      <c r="AV68" s="71">
        <v>-69.11624331058222</v>
      </c>
      <c r="AW68" s="71">
        <v>-66.344051667649381</v>
      </c>
      <c r="AX68" s="71">
        <v>-63.482398152739243</v>
      </c>
      <c r="AY68" s="71">
        <v>-60.53128276585182</v>
      </c>
      <c r="AZ68" s="71">
        <v>-57.490705506987091</v>
      </c>
      <c r="BA68" s="71">
        <v>-54.360666376145041</v>
      </c>
      <c r="BB68" s="71">
        <v>-51.141165373325705</v>
      </c>
      <c r="BC68" s="71">
        <v>-47.832202498529071</v>
      </c>
      <c r="BD68" s="71">
        <v>-44.43377775175513</v>
      </c>
      <c r="BE68" s="71">
        <v>-40.94589113300389</v>
      </c>
      <c r="BF68" s="71">
        <v>-37.368542642275358</v>
      </c>
      <c r="BG68" s="71">
        <v>-33.701732279569512</v>
      </c>
      <c r="BH68" s="71">
        <v>-29.945460044886413</v>
      </c>
      <c r="BI68" s="71">
        <v>-26.099725938225973</v>
      </c>
      <c r="BJ68" s="71">
        <v>-22.164529959588233</v>
      </c>
      <c r="BK68" s="71">
        <v>-18.139872108973197</v>
      </c>
      <c r="BL68" s="71">
        <v>-14.021578142469009</v>
      </c>
      <c r="BM68" s="71">
        <v>-9.7482916799429358</v>
      </c>
      <c r="BN68" s="71">
        <v>-5.2996807149599316</v>
      </c>
      <c r="BO68" s="71">
        <v>-0.67574524751999299</v>
      </c>
      <c r="BP68" s="71">
        <v>4.1235147223768758</v>
      </c>
      <c r="BQ68" s="71">
        <v>9.0980991947306773</v>
      </c>
      <c r="BR68" s="71">
        <v>14.248008169541412</v>
      </c>
      <c r="BS68" s="71">
        <v>19.573241646809077</v>
      </c>
      <c r="BT68" s="71">
        <v>25.073799626533678</v>
      </c>
      <c r="BU68" s="71">
        <v>30.749682108715156</v>
      </c>
      <c r="BV68" s="71">
        <v>36.600889093353622</v>
      </c>
      <c r="BW68" s="71">
        <v>42.627420580449012</v>
      </c>
      <c r="BX68" s="71">
        <v>48.82927657000134</v>
      </c>
      <c r="BY68" s="71">
        <v>55.2064570620106</v>
      </c>
      <c r="BZ68" s="71">
        <v>61.75896205647679</v>
      </c>
      <c r="CA68" s="71">
        <v>68.486791553399911</v>
      </c>
      <c r="CB68" s="71">
        <v>75.389945552779963</v>
      </c>
      <c r="CC68" s="71">
        <v>82.468424054616946</v>
      </c>
      <c r="CD68" s="71">
        <v>89.722227058910875</v>
      </c>
      <c r="CE68" s="71">
        <v>97.151354565661734</v>
      </c>
      <c r="CF68" s="71">
        <v>104.75580657486951</v>
      </c>
      <c r="CG68" s="71">
        <v>112.53558308653422</v>
      </c>
      <c r="CH68" s="71">
        <v>120.4906841006558</v>
      </c>
      <c r="CI68" s="71">
        <v>128.62110961723437</v>
      </c>
      <c r="CJ68" s="71">
        <v>136.92685963626988</v>
      </c>
      <c r="CK68" s="71">
        <v>145.40793415776233</v>
      </c>
      <c r="CL68" s="71">
        <v>154.0643331817117</v>
      </c>
      <c r="CM68" s="71">
        <v>162.89605670811801</v>
      </c>
      <c r="CN68" s="71">
        <v>171.90310473698125</v>
      </c>
      <c r="CO68" s="71">
        <v>181.08547726830145</v>
      </c>
      <c r="CP68" s="71">
        <v>190.44317430207855</v>
      </c>
      <c r="CQ68" s="71">
        <v>199.97619583831255</v>
      </c>
      <c r="CR68" s="71">
        <v>209.68454187700345</v>
      </c>
      <c r="CS68" s="71">
        <v>219.56821241815143</v>
      </c>
      <c r="CT68" s="71">
        <v>229.62720746175617</v>
      </c>
      <c r="CU68" s="71">
        <v>239.86152700781804</v>
      </c>
      <c r="CV68" s="71">
        <v>250.27117105633664</v>
      </c>
      <c r="CW68" s="71">
        <v>260.8561396073124</v>
      </c>
      <c r="CX68" s="71">
        <v>271.61643266074486</v>
      </c>
      <c r="CY68" s="71">
        <v>282.55205021663448</v>
      </c>
      <c r="CZ68" s="71">
        <v>293.66299227498081</v>
      </c>
      <c r="DA68" s="71">
        <v>304.94925883578401</v>
      </c>
      <c r="DB68" s="71">
        <v>316.41084989904448</v>
      </c>
      <c r="DC68" s="71">
        <v>328.04776546476154</v>
      </c>
      <c r="DD68" s="71">
        <v>339.86000553293587</v>
      </c>
      <c r="DE68" s="71">
        <v>351.8475701035668</v>
      </c>
      <c r="DF68" s="71">
        <v>364.01045917665493</v>
      </c>
      <c r="DG68" s="71">
        <v>376.34867275219978</v>
      </c>
      <c r="DH68" s="71">
        <v>388.86221083020178</v>
      </c>
      <c r="DI68" s="71">
        <v>401.55107341066054</v>
      </c>
      <c r="DJ68" s="71">
        <v>414.41526049357628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1143.1334660694829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118.26211979983579</v>
      </c>
      <c r="K85" s="79">
        <v>944.77154049267415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-1304.5524099339866</v>
      </c>
      <c r="K86" s="79">
        <v>897.67465600710159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934565.85206364829</v>
      </c>
      <c r="J89" s="80">
        <v>7.3499042619271066E-2</v>
      </c>
      <c r="K89" s="80">
        <v>1.0821847070903867E-7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933590.35341174668</v>
      </c>
      <c r="J90" s="80">
        <v>5.5062099661388787E-2</v>
      </c>
      <c r="K90" s="80">
        <v>2.1103828118402335E-8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897674.65600710164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-15.318209547938867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1143.1334660694829</v>
      </c>
      <c r="K114" s="79">
        <v>386.32417783562789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118.26211979983579</v>
      </c>
      <c r="K115" s="79">
        <v>26.870459296477794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-1304.5524099339866</v>
      </c>
      <c r="K116" s="79">
        <v>-110.69284875995191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2.9770453996842279</v>
      </c>
      <c r="J119" s="80">
        <v>1.8665484367950819E-4</v>
      </c>
      <c r="K119" s="80">
        <v>1.3007476407236632E-10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2.2637159806835041</v>
      </c>
      <c r="J120" s="80">
        <v>1.7317290417845501E-4</v>
      </c>
      <c r="K120" s="80">
        <v>6.6372536227662157E-11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-110.69284875995191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3245.2538610563238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1.0195010327572049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-500.97160282859397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-1198.7324099339867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7.4845509796388598E-2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5.0595685478410118E-2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0.15912582061123259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-7.4857300389025105E-14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-46.316970220162119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-15.318209547938917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3.2540961627775581E-3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-46.273200639534487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-15.302832691807657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3.4447967633160226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405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0" t="s">
        <v>17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</row>
    <row r="4" spans="1:15" s="46" customFormat="1" ht="20.100000000000001" hidden="1" customHeight="1" outlineLevel="1">
      <c r="A4" s="47" t="s">
        <v>16</v>
      </c>
      <c r="B4" s="182" t="s">
        <v>15</v>
      </c>
      <c r="C4" s="182"/>
      <c r="D4" s="182"/>
      <c r="E4" s="182"/>
      <c r="F4" s="182"/>
      <c r="G4" s="18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4"/>
      <c r="C5" s="175"/>
      <c r="D5" s="175"/>
      <c r="E5" s="175"/>
      <c r="F5" s="175"/>
      <c r="G5" s="17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4"/>
      <c r="C6" s="175"/>
      <c r="D6" s="175"/>
      <c r="E6" s="175"/>
      <c r="F6" s="175"/>
      <c r="G6" s="17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4"/>
      <c r="C7" s="175"/>
      <c r="D7" s="175"/>
      <c r="E7" s="175"/>
      <c r="F7" s="175"/>
      <c r="G7" s="17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4"/>
      <c r="C8" s="175"/>
      <c r="D8" s="175"/>
      <c r="E8" s="175"/>
      <c r="F8" s="175"/>
      <c r="G8" s="17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4"/>
      <c r="C9" s="175"/>
      <c r="D9" s="175"/>
      <c r="E9" s="175"/>
      <c r="F9" s="175"/>
      <c r="G9" s="17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101</v>
      </c>
      <c r="C13" s="177"/>
      <c r="D13" s="179" t="str">
        <f>Gap30deg!D13</f>
        <v>SP2200052</v>
      </c>
      <c r="E13" s="179"/>
      <c r="F13" s="179"/>
      <c r="G13" s="179"/>
      <c r="H13" s="179"/>
      <c r="I13" s="179"/>
      <c r="J13" s="179"/>
      <c r="K13" s="179"/>
      <c r="L13" s="86"/>
    </row>
    <row r="14" spans="1:15" s="85" customFormat="1" ht="20.100000000000001" customHeight="1" outlineLevel="1">
      <c r="A14" s="87"/>
      <c r="B14" s="177" t="s">
        <v>100</v>
      </c>
      <c r="C14" s="177"/>
      <c r="D14" s="179" t="str">
        <f>Gap30deg!D14</f>
        <v>Stichting GROW</v>
      </c>
      <c r="E14" s="179"/>
      <c r="F14" s="179"/>
      <c r="G14" s="179"/>
      <c r="H14" s="179"/>
      <c r="I14" s="179"/>
      <c r="J14" s="179"/>
      <c r="K14" s="179"/>
      <c r="L14" s="86"/>
    </row>
    <row r="15" spans="1:15" s="85" customFormat="1" ht="20.100000000000001" customHeight="1" outlineLevel="1">
      <c r="A15" s="87"/>
      <c r="B15" s="177" t="s">
        <v>99</v>
      </c>
      <c r="C15" s="177"/>
      <c r="D15" s="179" t="str">
        <f>Gap30deg!D15</f>
        <v>Bolt and Beautiful</v>
      </c>
      <c r="E15" s="179"/>
      <c r="F15" s="179"/>
      <c r="G15" s="179"/>
      <c r="H15" s="179"/>
      <c r="I15" s="179"/>
      <c r="J15" s="179"/>
      <c r="K15" s="179"/>
      <c r="L15" s="86"/>
    </row>
    <row r="16" spans="1:15" s="85" customFormat="1" ht="20.100000000000001" customHeight="1" outlineLevel="1">
      <c r="A16" s="87"/>
      <c r="B16" s="177" t="s">
        <v>98</v>
      </c>
      <c r="C16" s="177"/>
      <c r="D16" s="179" t="str">
        <f>Title</f>
        <v>Flange Segment Analytical Model for 120° gap size</v>
      </c>
      <c r="E16" s="179"/>
      <c r="F16" s="179"/>
      <c r="G16" s="179"/>
      <c r="H16" s="179"/>
      <c r="I16" s="179"/>
      <c r="J16" s="179"/>
      <c r="K16" s="179"/>
      <c r="L16" s="86"/>
      <c r="M16" s="88"/>
    </row>
    <row r="17" spans="1:22" s="85" customFormat="1" ht="20.100000000000001" customHeight="1" outlineLevel="1">
      <c r="A17" s="87"/>
      <c r="B17" s="177" t="s">
        <v>97</v>
      </c>
      <c r="C17" s="177"/>
      <c r="D17" s="179" t="str">
        <f>Gap30deg!D17</f>
        <v>0.10</v>
      </c>
      <c r="E17" s="179"/>
      <c r="F17" s="179"/>
      <c r="G17" s="179"/>
      <c r="H17" s="179"/>
      <c r="I17" s="179"/>
      <c r="J17" s="179"/>
      <c r="K17" s="179"/>
      <c r="L17" s="86"/>
    </row>
    <row r="18" spans="1:22" s="85" customFormat="1" ht="20.100000000000001" customHeight="1" outlineLevel="1">
      <c r="A18" s="87"/>
      <c r="B18" s="177" t="s">
        <v>96</v>
      </c>
      <c r="C18" s="177"/>
      <c r="D18" s="178">
        <f>Gap30deg!D18</f>
        <v>45432</v>
      </c>
      <c r="E18" s="178"/>
      <c r="F18" s="178"/>
      <c r="G18" s="178"/>
      <c r="H18" s="178"/>
      <c r="I18" s="178"/>
      <c r="J18" s="178"/>
      <c r="K18" s="17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4"/>
      <c r="C28" s="185"/>
      <c r="D28" s="185"/>
      <c r="E28" s="185"/>
      <c r="F28" s="185"/>
      <c r="G28" s="185"/>
      <c r="H28" s="185"/>
      <c r="I28" s="185"/>
      <c r="J28" s="185"/>
      <c r="K28" s="18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-1352.6497557730243</v>
      </c>
      <c r="P66" s="71">
        <v>-1326.7692362231035</v>
      </c>
      <c r="Q66" s="71">
        <v>-1300.8887166731829</v>
      </c>
      <c r="R66" s="71">
        <v>-1275.0081971232621</v>
      </c>
      <c r="S66" s="71">
        <v>-1249.1276775733415</v>
      </c>
      <c r="T66" s="71">
        <v>-1223.247158023421</v>
      </c>
      <c r="U66" s="71">
        <v>-1197.3666384735002</v>
      </c>
      <c r="V66" s="71">
        <v>-1171.4861189235796</v>
      </c>
      <c r="W66" s="71">
        <v>-1145.6055993736588</v>
      </c>
      <c r="X66" s="71">
        <v>-1119.7250798237383</v>
      </c>
      <c r="Y66" s="71">
        <v>-1093.8445602738177</v>
      </c>
      <c r="Z66" s="71">
        <v>-1067.9640407238971</v>
      </c>
      <c r="AA66" s="71">
        <v>-1042.0835211739764</v>
      </c>
      <c r="AB66" s="71">
        <v>-1016.2030016240557</v>
      </c>
      <c r="AC66" s="71">
        <v>-990.322482074135</v>
      </c>
      <c r="AD66" s="71">
        <v>-964.44196252421432</v>
      </c>
      <c r="AE66" s="71">
        <v>-938.56144297429375</v>
      </c>
      <c r="AF66" s="71">
        <v>-912.68092342437319</v>
      </c>
      <c r="AG66" s="71">
        <v>-886.80040387445251</v>
      </c>
      <c r="AH66" s="71">
        <v>-860.91988432453172</v>
      </c>
      <c r="AI66" s="71">
        <v>-835.03936477461104</v>
      </c>
      <c r="AJ66" s="71">
        <v>-809.15884522469048</v>
      </c>
      <c r="AK66" s="71">
        <v>-783.2783256747698</v>
      </c>
      <c r="AL66" s="71">
        <v>-757.39780612484913</v>
      </c>
      <c r="AM66" s="71">
        <v>-731.51728657492856</v>
      </c>
      <c r="AN66" s="71">
        <v>-705.63676702500788</v>
      </c>
      <c r="AO66" s="71">
        <v>-679.75624747508721</v>
      </c>
      <c r="AP66" s="71">
        <v>-653.87572792516653</v>
      </c>
      <c r="AQ66" s="71">
        <v>-627.99520837524597</v>
      </c>
      <c r="AR66" s="71">
        <v>-602.11468882532517</v>
      </c>
      <c r="AS66" s="71">
        <v>-576.2341692754045</v>
      </c>
      <c r="AT66" s="71">
        <v>-550.35364972548393</v>
      </c>
      <c r="AU66" s="71">
        <v>-524.47313017556326</v>
      </c>
      <c r="AV66" s="71">
        <v>-498.59261062564258</v>
      </c>
      <c r="AW66" s="71">
        <v>-472.71209107572201</v>
      </c>
      <c r="AX66" s="71">
        <v>-446.83157152580134</v>
      </c>
      <c r="AY66" s="71">
        <v>-420.95105197588066</v>
      </c>
      <c r="AZ66" s="71">
        <v>-395.07053242596004</v>
      </c>
      <c r="BA66" s="71">
        <v>-369.19001287603936</v>
      </c>
      <c r="BB66" s="71">
        <v>-343.30949332611868</v>
      </c>
      <c r="BC66" s="71">
        <v>-317.42897377619801</v>
      </c>
      <c r="BD66" s="71">
        <v>-291.54845422627733</v>
      </c>
      <c r="BE66" s="71">
        <v>-265.66793467635682</v>
      </c>
      <c r="BF66" s="71">
        <v>-239.78741512643614</v>
      </c>
      <c r="BG66" s="71">
        <v>-213.90689557651547</v>
      </c>
      <c r="BH66" s="71">
        <v>-188.02637602659479</v>
      </c>
      <c r="BI66" s="71">
        <v>-162.14585647667408</v>
      </c>
      <c r="BJ66" s="71">
        <v>-136.26533692675341</v>
      </c>
      <c r="BK66" s="71">
        <v>-110.38481737683294</v>
      </c>
      <c r="BL66" s="71">
        <v>-84.50429782691225</v>
      </c>
      <c r="BM66" s="71">
        <v>-58.623778276991565</v>
      </c>
      <c r="BN66" s="71">
        <v>-32.743258727070874</v>
      </c>
      <c r="BO66" s="71">
        <v>-6.8627391771501864</v>
      </c>
      <c r="BP66" s="71">
        <v>19.017780372770503</v>
      </c>
      <c r="BQ66" s="71">
        <v>44.898299922691194</v>
      </c>
      <c r="BR66" s="71">
        <v>70.778819472611644</v>
      </c>
      <c r="BS66" s="71">
        <v>96.659339022532336</v>
      </c>
      <c r="BT66" s="71">
        <v>122.53985857245303</v>
      </c>
      <c r="BU66" s="71">
        <v>148.42037812237371</v>
      </c>
      <c r="BV66" s="71">
        <v>174.30089767229441</v>
      </c>
      <c r="BW66" s="71">
        <v>200.18141722221509</v>
      </c>
      <c r="BX66" s="71">
        <v>226.06193677213554</v>
      </c>
      <c r="BY66" s="71">
        <v>251.94245632205624</v>
      </c>
      <c r="BZ66" s="71">
        <v>277.82297587197695</v>
      </c>
      <c r="CA66" s="71">
        <v>303.70349542189763</v>
      </c>
      <c r="CB66" s="71">
        <v>329.58401497181831</v>
      </c>
      <c r="CC66" s="71">
        <v>355.46453452173898</v>
      </c>
      <c r="CD66" s="71">
        <v>381.34505407165966</v>
      </c>
      <c r="CE66" s="71">
        <v>407.22557362158017</v>
      </c>
      <c r="CF66" s="71">
        <v>433.10609317150085</v>
      </c>
      <c r="CG66" s="71">
        <v>458.98661272142152</v>
      </c>
      <c r="CH66" s="71">
        <v>484.8671322713422</v>
      </c>
      <c r="CI66" s="71">
        <v>510.74765182126288</v>
      </c>
      <c r="CJ66" s="71">
        <v>536.62817137118361</v>
      </c>
      <c r="CK66" s="71">
        <v>562.50869092110406</v>
      </c>
      <c r="CL66" s="71">
        <v>588.38921047102474</v>
      </c>
      <c r="CM66" s="71">
        <v>614.26973002094542</v>
      </c>
      <c r="CN66" s="71">
        <v>640.15024957086609</v>
      </c>
      <c r="CO66" s="71">
        <v>666.03076912078677</v>
      </c>
      <c r="CP66" s="71">
        <v>691.91128867070745</v>
      </c>
      <c r="CQ66" s="71">
        <v>717.79180822062813</v>
      </c>
      <c r="CR66" s="71">
        <v>743.67232777054869</v>
      </c>
      <c r="CS66" s="71">
        <v>769.5528473204696</v>
      </c>
      <c r="CT66" s="71">
        <v>795.43336687039027</v>
      </c>
      <c r="CU66" s="71">
        <v>821.3138864203105</v>
      </c>
      <c r="CV66" s="71">
        <v>847.19440597023117</v>
      </c>
      <c r="CW66" s="71">
        <v>873.07492552015185</v>
      </c>
      <c r="CX66" s="71">
        <v>898.95544507007253</v>
      </c>
      <c r="CY66" s="71">
        <v>924.83596461999321</v>
      </c>
      <c r="CZ66" s="71">
        <v>950.71648416991388</v>
      </c>
      <c r="DA66" s="71">
        <v>976.59700371983456</v>
      </c>
      <c r="DB66" s="71">
        <v>1002.4775232697554</v>
      </c>
      <c r="DC66" s="71">
        <v>1028.358042819676</v>
      </c>
      <c r="DD66" s="71">
        <v>1054.2385623695966</v>
      </c>
      <c r="DE66" s="71">
        <v>1080.1190819195174</v>
      </c>
      <c r="DF66" s="71">
        <v>1105.9996014694379</v>
      </c>
      <c r="DG66" s="71">
        <v>1131.8801210193583</v>
      </c>
      <c r="DH66" s="71">
        <v>1157.7606405692791</v>
      </c>
      <c r="DI66" s="71">
        <v>1183.6411601191996</v>
      </c>
      <c r="DJ66" s="71">
        <v>1209.5216796691204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898.47028642206158</v>
      </c>
      <c r="P67" s="71">
        <v>898.47028642206158</v>
      </c>
      <c r="Q67" s="71">
        <v>898.47028642206158</v>
      </c>
      <c r="R67" s="71">
        <v>898.47398312879909</v>
      </c>
      <c r="S67" s="71">
        <v>898.5025934504082</v>
      </c>
      <c r="T67" s="71">
        <v>898.55949770023665</v>
      </c>
      <c r="U67" s="71">
        <v>898.64469587828444</v>
      </c>
      <c r="V67" s="71">
        <v>898.75818798455134</v>
      </c>
      <c r="W67" s="71">
        <v>898.89997401903759</v>
      </c>
      <c r="X67" s="71">
        <v>899.07005398174306</v>
      </c>
      <c r="Y67" s="71">
        <v>899.26842787266776</v>
      </c>
      <c r="Z67" s="71">
        <v>899.49509569181191</v>
      </c>
      <c r="AA67" s="71">
        <v>899.75005743917518</v>
      </c>
      <c r="AB67" s="71">
        <v>900.0333131147579</v>
      </c>
      <c r="AC67" s="71">
        <v>900.34486271855974</v>
      </c>
      <c r="AD67" s="71">
        <v>900.6847062505808</v>
      </c>
      <c r="AE67" s="71">
        <v>901.05284371082132</v>
      </c>
      <c r="AF67" s="71">
        <v>901.44927509928095</v>
      </c>
      <c r="AG67" s="71">
        <v>901.87400041595993</v>
      </c>
      <c r="AH67" s="71">
        <v>902.32701966085835</v>
      </c>
      <c r="AI67" s="71">
        <v>902.80833283397578</v>
      </c>
      <c r="AJ67" s="71">
        <v>903.31793993531255</v>
      </c>
      <c r="AK67" s="71">
        <v>903.85584096486866</v>
      </c>
      <c r="AL67" s="71">
        <v>904.42203592264411</v>
      </c>
      <c r="AM67" s="71">
        <v>905.01652480863868</v>
      </c>
      <c r="AN67" s="71">
        <v>905.63930762285258</v>
      </c>
      <c r="AO67" s="71">
        <v>906.29038436528583</v>
      </c>
      <c r="AP67" s="71">
        <v>906.96975503593819</v>
      </c>
      <c r="AQ67" s="71">
        <v>907.67741963481012</v>
      </c>
      <c r="AR67" s="71">
        <v>908.41337816190105</v>
      </c>
      <c r="AS67" s="71">
        <v>909.17763061721132</v>
      </c>
      <c r="AT67" s="71">
        <v>909.97017700074093</v>
      </c>
      <c r="AU67" s="71">
        <v>910.79101731248966</v>
      </c>
      <c r="AV67" s="71">
        <v>911.64015155245784</v>
      </c>
      <c r="AW67" s="71">
        <v>912.51757972064524</v>
      </c>
      <c r="AX67" s="71">
        <v>913.42330181705188</v>
      </c>
      <c r="AY67" s="71">
        <v>914.35731784167785</v>
      </c>
      <c r="AZ67" s="71">
        <v>915.31962779452306</v>
      </c>
      <c r="BA67" s="71">
        <v>916.3102316755876</v>
      </c>
      <c r="BB67" s="71">
        <v>917.32912948487126</v>
      </c>
      <c r="BC67" s="71">
        <v>918.37632122237437</v>
      </c>
      <c r="BD67" s="71">
        <v>919.4518068880966</v>
      </c>
      <c r="BE67" s="71">
        <v>920.55558648203828</v>
      </c>
      <c r="BF67" s="71">
        <v>921.68766000419919</v>
      </c>
      <c r="BG67" s="71">
        <v>922.84802745457921</v>
      </c>
      <c r="BH67" s="71">
        <v>924.03668883317869</v>
      </c>
      <c r="BI67" s="71">
        <v>925.25364413999728</v>
      </c>
      <c r="BJ67" s="71">
        <v>926.49889337503532</v>
      </c>
      <c r="BK67" s="71">
        <v>927.7724365382926</v>
      </c>
      <c r="BL67" s="71">
        <v>929.11326828774691</v>
      </c>
      <c r="BM67" s="71">
        <v>930.59557489318286</v>
      </c>
      <c r="BN67" s="71">
        <v>932.22114470511269</v>
      </c>
      <c r="BO67" s="71">
        <v>933.98997772353619</v>
      </c>
      <c r="BP67" s="71">
        <v>935.90207394845356</v>
      </c>
      <c r="BQ67" s="71">
        <v>937.95743337986482</v>
      </c>
      <c r="BR67" s="71">
        <v>940.15605601776986</v>
      </c>
      <c r="BS67" s="71">
        <v>942.49794186216866</v>
      </c>
      <c r="BT67" s="71">
        <v>944.98309091306135</v>
      </c>
      <c r="BU67" s="71">
        <v>947.61150317044792</v>
      </c>
      <c r="BV67" s="71">
        <v>950.38317863432815</v>
      </c>
      <c r="BW67" s="71">
        <v>953.29811730470237</v>
      </c>
      <c r="BX67" s="71">
        <v>956.35631918157037</v>
      </c>
      <c r="BY67" s="71">
        <v>959.55778426493214</v>
      </c>
      <c r="BZ67" s="71">
        <v>962.90251255478779</v>
      </c>
      <c r="CA67" s="71">
        <v>966.39050405113721</v>
      </c>
      <c r="CB67" s="71">
        <v>970.02175875398063</v>
      </c>
      <c r="CC67" s="71">
        <v>973.79627666331771</v>
      </c>
      <c r="CD67" s="71">
        <v>977.71405777914867</v>
      </c>
      <c r="CE67" s="71">
        <v>981.77510210147341</v>
      </c>
      <c r="CF67" s="71">
        <v>985.97940963029203</v>
      </c>
      <c r="CG67" s="71">
        <v>990.32698036560441</v>
      </c>
      <c r="CH67" s="71">
        <v>994.81781430741069</v>
      </c>
      <c r="CI67" s="71">
        <v>999.45191145571073</v>
      </c>
      <c r="CJ67" s="71">
        <v>1004.2292718105048</v>
      </c>
      <c r="CK67" s="71">
        <v>1009.1498953717924</v>
      </c>
      <c r="CL67" s="71">
        <v>1014.2137821395739</v>
      </c>
      <c r="CM67" s="71">
        <v>1019.4209321138493</v>
      </c>
      <c r="CN67" s="71">
        <v>1024.7713452946184</v>
      </c>
      <c r="CO67" s="71">
        <v>1030.2650216818815</v>
      </c>
      <c r="CP67" s="71">
        <v>1035.9019612756385</v>
      </c>
      <c r="CQ67" s="71">
        <v>1041.6821640758892</v>
      </c>
      <c r="CR67" s="71">
        <v>1047.6056300826335</v>
      </c>
      <c r="CS67" s="71">
        <v>1053.672359295872</v>
      </c>
      <c r="CT67" s="71">
        <v>1059.8823517156043</v>
      </c>
      <c r="CU67" s="71">
        <v>1066.2356073418302</v>
      </c>
      <c r="CV67" s="71">
        <v>1072.7321261745499</v>
      </c>
      <c r="CW67" s="71">
        <v>1079.3719082137634</v>
      </c>
      <c r="CX67" s="71">
        <v>1086.154953459471</v>
      </c>
      <c r="CY67" s="71">
        <v>1093.0812619116723</v>
      </c>
      <c r="CZ67" s="71">
        <v>1100.1508335703675</v>
      </c>
      <c r="DA67" s="71">
        <v>1107.3636684355563</v>
      </c>
      <c r="DB67" s="71">
        <v>1114.719766507239</v>
      </c>
      <c r="DC67" s="71">
        <v>1122.2191277854158</v>
      </c>
      <c r="DD67" s="71">
        <v>1129.8617522700863</v>
      </c>
      <c r="DE67" s="71">
        <v>1137.6476399612507</v>
      </c>
      <c r="DF67" s="71">
        <v>1145.5767908589085</v>
      </c>
      <c r="DG67" s="71">
        <v>1153.6492049630604</v>
      </c>
      <c r="DH67" s="71">
        <v>1161.8648822737061</v>
      </c>
      <c r="DI67" s="71">
        <v>1170.2238227908458</v>
      </c>
      <c r="DJ67" s="71">
        <v>1178.7260265144789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-108.60169454332595</v>
      </c>
      <c r="P68" s="71">
        <v>-108.60169454332595</v>
      </c>
      <c r="Q68" s="71">
        <v>-108.60169454332595</v>
      </c>
      <c r="R68" s="71">
        <v>-108.59000505007997</v>
      </c>
      <c r="S68" s="71">
        <v>-108.49953529281716</v>
      </c>
      <c r="T68" s="71">
        <v>-108.31959625754415</v>
      </c>
      <c r="U68" s="71">
        <v>-108.0501879442609</v>
      </c>
      <c r="V68" s="71">
        <v>-107.69131035296746</v>
      </c>
      <c r="W68" s="71">
        <v>-107.2429634836638</v>
      </c>
      <c r="X68" s="71">
        <v>-106.70514733634994</v>
      </c>
      <c r="Y68" s="71">
        <v>-106.07786191102585</v>
      </c>
      <c r="Z68" s="71">
        <v>-105.36110720769156</v>
      </c>
      <c r="AA68" s="71">
        <v>-104.55488322634703</v>
      </c>
      <c r="AB68" s="71">
        <v>-103.65918996699232</v>
      </c>
      <c r="AC68" s="71">
        <v>-102.67402742962739</v>
      </c>
      <c r="AD68" s="71">
        <v>-101.59939561425224</v>
      </c>
      <c r="AE68" s="71">
        <v>-100.43529452086689</v>
      </c>
      <c r="AF68" s="71">
        <v>-99.181724149471322</v>
      </c>
      <c r="AG68" s="71">
        <v>-97.838684500065526</v>
      </c>
      <c r="AH68" s="71">
        <v>-96.406175572649531</v>
      </c>
      <c r="AI68" s="71">
        <v>-94.884197367223322</v>
      </c>
      <c r="AJ68" s="71">
        <v>-93.272749883786915</v>
      </c>
      <c r="AK68" s="71">
        <v>-91.571833122340266</v>
      </c>
      <c r="AL68" s="71">
        <v>-89.781447082883432</v>
      </c>
      <c r="AM68" s="71">
        <v>-87.901591765416384</v>
      </c>
      <c r="AN68" s="71">
        <v>-85.932267169939109</v>
      </c>
      <c r="AO68" s="71">
        <v>-83.873473296451635</v>
      </c>
      <c r="AP68" s="71">
        <v>-81.725210144953934</v>
      </c>
      <c r="AQ68" s="71">
        <v>-79.487477715446033</v>
      </c>
      <c r="AR68" s="71">
        <v>-77.160276007927905</v>
      </c>
      <c r="AS68" s="71">
        <v>-74.743605022399564</v>
      </c>
      <c r="AT68" s="71">
        <v>-72.237464758861037</v>
      </c>
      <c r="AU68" s="71">
        <v>-69.641855217312269</v>
      </c>
      <c r="AV68" s="71">
        <v>-66.956776397753302</v>
      </c>
      <c r="AW68" s="71">
        <v>-64.182228300184136</v>
      </c>
      <c r="AX68" s="71">
        <v>-61.318210924604735</v>
      </c>
      <c r="AY68" s="71">
        <v>-58.36472427101512</v>
      </c>
      <c r="AZ68" s="71">
        <v>-55.321768339415307</v>
      </c>
      <c r="BA68" s="71">
        <v>-52.189343129805273</v>
      </c>
      <c r="BB68" s="71">
        <v>-48.967448642185033</v>
      </c>
      <c r="BC68" s="71">
        <v>-45.656084876554566</v>
      </c>
      <c r="BD68" s="71">
        <v>-42.255251832913899</v>
      </c>
      <c r="BE68" s="71">
        <v>-38.76494951126304</v>
      </c>
      <c r="BF68" s="71">
        <v>-35.185177911601947</v>
      </c>
      <c r="BG68" s="71">
        <v>-31.515937033930634</v>
      </c>
      <c r="BH68" s="71">
        <v>-27.75722687824911</v>
      </c>
      <c r="BI68" s="71">
        <v>-23.909047444557377</v>
      </c>
      <c r="BJ68" s="71">
        <v>-19.971398732855427</v>
      </c>
      <c r="BK68" s="71">
        <v>-15.944280743143306</v>
      </c>
      <c r="BL68" s="71">
        <v>-11.798616966205879</v>
      </c>
      <c r="BM68" s="71">
        <v>-7.4790901388876154</v>
      </c>
      <c r="BN68" s="71">
        <v>-2.9843667710940855</v>
      </c>
      <c r="BO68" s="71">
        <v>1.6855531371747097</v>
      </c>
      <c r="BP68" s="71">
        <v>6.53066958591877</v>
      </c>
      <c r="BQ68" s="71">
        <v>11.550982575138095</v>
      </c>
      <c r="BR68" s="71">
        <v>16.74649210483264</v>
      </c>
      <c r="BS68" s="71">
        <v>22.117198175002496</v>
      </c>
      <c r="BT68" s="71">
        <v>27.663100785647615</v>
      </c>
      <c r="BU68" s="71">
        <v>33.384199936768006</v>
      </c>
      <c r="BV68" s="71">
        <v>39.28049562836366</v>
      </c>
      <c r="BW68" s="71">
        <v>45.351987860434576</v>
      </c>
      <c r="BX68" s="71">
        <v>51.598676632980698</v>
      </c>
      <c r="BY68" s="71">
        <v>58.020561946002147</v>
      </c>
      <c r="BZ68" s="71">
        <v>64.617643799498865</v>
      </c>
      <c r="CA68" s="71">
        <v>71.389922193470824</v>
      </c>
      <c r="CB68" s="71">
        <v>78.337397127918081</v>
      </c>
      <c r="CC68" s="71">
        <v>85.460068602840579</v>
      </c>
      <c r="CD68" s="71">
        <v>92.757936618238347</v>
      </c>
      <c r="CE68" s="71">
        <v>100.23100117411133</v>
      </c>
      <c r="CF68" s="71">
        <v>107.87926227045963</v>
      </c>
      <c r="CG68" s="71">
        <v>115.70271990728321</v>
      </c>
      <c r="CH68" s="71">
        <v>123.70137408458203</v>
      </c>
      <c r="CI68" s="71">
        <v>131.87522480235612</v>
      </c>
      <c r="CJ68" s="71">
        <v>140.2242720606055</v>
      </c>
      <c r="CK68" s="71">
        <v>148.74851585933004</v>
      </c>
      <c r="CL68" s="71">
        <v>157.44795619852997</v>
      </c>
      <c r="CM68" s="71">
        <v>166.3225930782051</v>
      </c>
      <c r="CN68" s="71">
        <v>175.37242649835554</v>
      </c>
      <c r="CO68" s="71">
        <v>184.59745645898124</v>
      </c>
      <c r="CP68" s="71">
        <v>193.99768296008219</v>
      </c>
      <c r="CQ68" s="71">
        <v>203.57310600165843</v>
      </c>
      <c r="CR68" s="71">
        <v>213.32372558370983</v>
      </c>
      <c r="CS68" s="71">
        <v>223.24954170623664</v>
      </c>
      <c r="CT68" s="71">
        <v>233.35055436923869</v>
      </c>
      <c r="CU68" s="71">
        <v>243.62676357271576</v>
      </c>
      <c r="CV68" s="71">
        <v>254.07816931666832</v>
      </c>
      <c r="CW68" s="71">
        <v>264.70477160109618</v>
      </c>
      <c r="CX68" s="71">
        <v>275.5065704259992</v>
      </c>
      <c r="CY68" s="71">
        <v>286.4835657913776</v>
      </c>
      <c r="CZ68" s="71">
        <v>297.63575769723121</v>
      </c>
      <c r="DA68" s="71">
        <v>308.9631461435601</v>
      </c>
      <c r="DB68" s="71">
        <v>320.46573113036425</v>
      </c>
      <c r="DC68" s="71">
        <v>332.14351265764361</v>
      </c>
      <c r="DD68" s="71">
        <v>343.99649072539825</v>
      </c>
      <c r="DE68" s="71">
        <v>356.02466533362821</v>
      </c>
      <c r="DF68" s="71">
        <v>368.22803648233344</v>
      </c>
      <c r="DG68" s="71">
        <v>380.6066041715136</v>
      </c>
      <c r="DH68" s="71">
        <v>393.16036840116936</v>
      </c>
      <c r="DI68" s="71">
        <v>405.8893291713004</v>
      </c>
      <c r="DJ68" s="71">
        <v>418.79348648190665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1151.925409208686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117.46259288003888</v>
      </c>
      <c r="K85" s="79">
        <v>944.48425606213721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-1288.2378626409752</v>
      </c>
      <c r="K86" s="79">
        <v>898.47028642206158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934483.05064391508</v>
      </c>
      <c r="J89" s="80">
        <v>7.2581762994438498E-2</v>
      </c>
      <c r="K89" s="80">
        <v>1.0694455816057664E-7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933522.01091236994</v>
      </c>
      <c r="J90" s="80">
        <v>5.4418093904568081E-2</v>
      </c>
      <c r="K90" s="80">
        <v>2.1121135887516646E-8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898470.28642206162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-15.224693895297989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1151.925409208686</v>
      </c>
      <c r="K114" s="79">
        <v>390.31459765260297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117.46259288003888</v>
      </c>
      <c r="K115" s="79">
        <v>26.561286453700507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-1288.2378626409752</v>
      </c>
      <c r="K116" s="79">
        <v>-108.60169454332595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2.9532640518538398</v>
      </c>
      <c r="J119" s="80">
        <v>1.8562127580621846E-4</v>
      </c>
      <c r="K119" s="146">
        <v>1.3078247423699987E-10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2.2366612642051105</v>
      </c>
      <c r="J120" s="80">
        <v>1.7207746957585127E-4</v>
      </c>
      <c r="K120" s="80">
        <v>6.6787925803966326E-11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-108.60169454332595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2098.2466054380752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1.0126085593106799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-482.99206263031385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-1182.4178626409753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7.382687494583845E-2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4.994801670533406E-2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0.15794247295869981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-46.459309095208724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-15.224693895297989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3.2124416183316653E-3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-46.415405004209653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-15.209433281414292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3.3099705249580351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405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topLeftCell="A121" zoomScale="77" zoomScaleNormal="100" workbookViewId="0">
      <selection activeCell="G21" sqref="G21"/>
    </sheetView>
  </sheetViews>
  <sheetFormatPr baseColWidth="10"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2:30">
      <c r="AB1" s="165">
        <v>1</v>
      </c>
      <c r="AC1" s="165">
        <v>2</v>
      </c>
      <c r="AD1" s="165">
        <v>3</v>
      </c>
    </row>
    <row r="2" spans="2:30">
      <c r="B2" s="117" t="s">
        <v>215</v>
      </c>
      <c r="N2" s="117" t="s">
        <v>282</v>
      </c>
    </row>
    <row r="3" spans="2:30">
      <c r="R3" s="117" t="s">
        <v>282</v>
      </c>
    </row>
    <row r="4" spans="2:30">
      <c r="B4" s="117" t="s">
        <v>281</v>
      </c>
      <c r="AB4" s="117" t="s">
        <v>385</v>
      </c>
    </row>
    <row r="6" spans="2:30" ht="13.8">
      <c r="R6" t="s">
        <v>361</v>
      </c>
      <c r="S6" s="156">
        <v>1.0002184070261351</v>
      </c>
      <c r="T6" t="s">
        <v>362</v>
      </c>
      <c r="X6" s="117" t="s">
        <v>363</v>
      </c>
      <c r="AB6" s="166" t="s">
        <v>386</v>
      </c>
      <c r="AC6" s="108">
        <v>1</v>
      </c>
      <c r="AD6" t="s">
        <v>387</v>
      </c>
    </row>
    <row r="7" spans="2:30" ht="13.8">
      <c r="R7" t="s">
        <v>364</v>
      </c>
      <c r="S7" s="157">
        <v>1</v>
      </c>
      <c r="X7" s="158" t="s">
        <v>365</v>
      </c>
      <c r="Y7" s="110">
        <v>50</v>
      </c>
      <c r="AB7" s="166" t="s">
        <v>388</v>
      </c>
      <c r="AC7" s="108">
        <v>1.19</v>
      </c>
      <c r="AD7" t="s">
        <v>389</v>
      </c>
    </row>
    <row r="8" spans="2:30" ht="13.8">
      <c r="X8" s="158" t="s">
        <v>366</v>
      </c>
      <c r="Y8" s="110">
        <v>0.1</v>
      </c>
      <c r="AB8" s="166" t="s">
        <v>390</v>
      </c>
      <c r="AC8" s="108">
        <v>1.3</v>
      </c>
      <c r="AD8" t="s">
        <v>391</v>
      </c>
    </row>
    <row r="9" spans="2:30">
      <c r="X9" s="158" t="s">
        <v>367</v>
      </c>
      <c r="Y9" s="109">
        <v>0.95408705132867211</v>
      </c>
    </row>
    <row r="10" spans="2:30">
      <c r="R10" s="117" t="s">
        <v>368</v>
      </c>
      <c r="X10" s="158" t="s">
        <v>369</v>
      </c>
      <c r="Y10" s="109">
        <v>43.367593242212365</v>
      </c>
      <c r="Z10" t="s">
        <v>370</v>
      </c>
    </row>
    <row r="11" spans="2:30">
      <c r="R11" s="159" t="s">
        <v>371</v>
      </c>
      <c r="T11" s="160" t="s">
        <v>399</v>
      </c>
      <c r="U11" s="104">
        <v>150</v>
      </c>
      <c r="V11" s="160" t="s">
        <v>8</v>
      </c>
      <c r="X11" s="158" t="s">
        <v>372</v>
      </c>
      <c r="Y11" s="110">
        <v>3</v>
      </c>
    </row>
    <row r="12" spans="2:30">
      <c r="R12" s="161" t="s">
        <v>373</v>
      </c>
      <c r="T12" s="162" t="s">
        <v>400</v>
      </c>
      <c r="U12" s="104">
        <v>90</v>
      </c>
      <c r="V12" s="162" t="s">
        <v>8</v>
      </c>
      <c r="X12" s="158" t="s">
        <v>374</v>
      </c>
      <c r="Y12" s="110">
        <v>5</v>
      </c>
      <c r="AB12" s="117" t="s">
        <v>392</v>
      </c>
    </row>
    <row r="13" spans="2:30">
      <c r="X13" s="158" t="s">
        <v>375</v>
      </c>
      <c r="Y13" s="110">
        <v>2000000</v>
      </c>
    </row>
    <row r="14" spans="2:30" ht="13.8">
      <c r="R14" s="159" t="s">
        <v>376</v>
      </c>
      <c r="T14" s="160" t="s">
        <v>401</v>
      </c>
      <c r="U14" s="163">
        <v>44.752499999999998</v>
      </c>
      <c r="V14" s="160" t="s">
        <v>8</v>
      </c>
      <c r="X14" s="158" t="s">
        <v>377</v>
      </c>
      <c r="Y14" s="109">
        <v>43.367593242212365</v>
      </c>
      <c r="AB14" s="167" t="s">
        <v>393</v>
      </c>
      <c r="AC14" s="167" t="s">
        <v>394</v>
      </c>
      <c r="AD14" s="167" t="s">
        <v>395</v>
      </c>
    </row>
    <row r="15" spans="2:30" ht="13.8">
      <c r="R15" s="159" t="s">
        <v>378</v>
      </c>
      <c r="T15" s="160" t="s">
        <v>402</v>
      </c>
      <c r="U15" s="163">
        <v>44.752499999999998</v>
      </c>
      <c r="V15" s="160" t="s">
        <v>8</v>
      </c>
      <c r="X15" s="158" t="s">
        <v>379</v>
      </c>
      <c r="Y15" s="109">
        <v>1</v>
      </c>
      <c r="AB15" s="168" t="s">
        <v>396</v>
      </c>
      <c r="AC15" s="168" t="s">
        <v>396</v>
      </c>
      <c r="AD15" s="168" t="s">
        <v>123</v>
      </c>
    </row>
    <row r="16" spans="2:30">
      <c r="R16" s="159" t="s">
        <v>380</v>
      </c>
      <c r="T16" s="160" t="s">
        <v>403</v>
      </c>
      <c r="U16" s="163">
        <v>41.865812163333331</v>
      </c>
      <c r="V16" s="160" t="s">
        <v>8</v>
      </c>
      <c r="X16" s="158" t="s">
        <v>381</v>
      </c>
      <c r="Y16" s="109">
        <v>1.1000000000000001</v>
      </c>
      <c r="AB16" s="169">
        <v>0.1330700007</v>
      </c>
      <c r="AC16" s="169">
        <v>-451839.7</v>
      </c>
      <c r="AD16" s="170">
        <v>0.1</v>
      </c>
    </row>
    <row r="17" spans="2:30">
      <c r="G17" s="171"/>
      <c r="H17" s="171"/>
      <c r="X17" s="158" t="s">
        <v>382</v>
      </c>
      <c r="Y17" s="109">
        <v>0.60099999999999998</v>
      </c>
      <c r="AB17" s="169">
        <v>0.1330700007</v>
      </c>
      <c r="AC17" s="169">
        <v>-366581.8</v>
      </c>
      <c r="AD17" s="170">
        <v>3088.54</v>
      </c>
    </row>
    <row r="18" spans="2:30">
      <c r="G18" s="172"/>
      <c r="H18" s="173"/>
      <c r="R18" s="159" t="s">
        <v>383</v>
      </c>
      <c r="T18" s="160" t="s">
        <v>384</v>
      </c>
      <c r="U18" s="164">
        <v>1473.1579837133568</v>
      </c>
      <c r="V18" s="160" t="s">
        <v>218</v>
      </c>
      <c r="AB18" s="169">
        <v>55255.900699999998</v>
      </c>
      <c r="AC18" s="169">
        <v>-366581.8</v>
      </c>
      <c r="AD18" s="170">
        <v>0.01</v>
      </c>
    </row>
    <row r="19" spans="2:30">
      <c r="AB19" s="169">
        <v>0.1330700007</v>
      </c>
      <c r="AC19" s="169">
        <v>-345267</v>
      </c>
      <c r="AD19" s="170">
        <v>151494</v>
      </c>
    </row>
    <row r="20" spans="2:30" ht="13.8">
      <c r="G20" s="134" t="s">
        <v>289</v>
      </c>
      <c r="AB20" s="169">
        <v>27628.027699999999</v>
      </c>
      <c r="AC20" s="169">
        <v>-345267</v>
      </c>
      <c r="AD20" s="170">
        <v>465.63499999999999</v>
      </c>
    </row>
    <row r="21" spans="2:30" ht="18">
      <c r="G21" s="135">
        <v>30</v>
      </c>
      <c r="AB21" s="169">
        <v>82883.619000000006</v>
      </c>
      <c r="AC21" s="169">
        <v>-345267</v>
      </c>
      <c r="AD21" s="170">
        <v>0.15</v>
      </c>
    </row>
    <row r="22" spans="2:30">
      <c r="G22" s="136">
        <f>MATCH(gap_angle,N48:Q48,0)</f>
        <v>1</v>
      </c>
      <c r="AB22" s="169">
        <v>0.1330700007</v>
      </c>
      <c r="AC22" s="169">
        <v>-323952.2</v>
      </c>
      <c r="AD22" s="170">
        <v>1061100</v>
      </c>
    </row>
    <row r="23" spans="2:30">
      <c r="G23" s="136" t="str">
        <f>"Gap"&amp;gap_angle&amp;"deg"</f>
        <v>Gap30deg</v>
      </c>
      <c r="AB23" s="169">
        <v>27628.027699999999</v>
      </c>
      <c r="AC23" s="169">
        <v>-323952.2</v>
      </c>
      <c r="AD23" s="170">
        <v>18961.5</v>
      </c>
    </row>
    <row r="24" spans="2:30">
      <c r="AB24" s="169">
        <v>55255.900699999998</v>
      </c>
      <c r="AC24" s="169">
        <v>-323952.2</v>
      </c>
      <c r="AD24" s="170">
        <v>13854.8</v>
      </c>
    </row>
    <row r="25" spans="2:30">
      <c r="AB25" s="169">
        <v>82883.619000000006</v>
      </c>
      <c r="AC25" s="169">
        <v>-323952.2</v>
      </c>
      <c r="AD25" s="170">
        <v>5176.3900000000003</v>
      </c>
    </row>
    <row r="26" spans="2:30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  <c r="AB26" s="169">
        <v>110511.492</v>
      </c>
      <c r="AC26" s="169">
        <v>-323952.2</v>
      </c>
      <c r="AD26" s="170">
        <v>730.55499999999995</v>
      </c>
    </row>
    <row r="27" spans="2:30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f>D27</f>
        <v>0</v>
      </c>
      <c r="L27" s="103" t="s">
        <v>198</v>
      </c>
      <c r="N27" s="104"/>
      <c r="O27" s="104"/>
      <c r="P27" s="104"/>
      <c r="Q27" s="104"/>
      <c r="R27" t="str">
        <f>IF(H27&lt;&gt;"",H27,"")</f>
        <v>Simplified formula used, therefore not evaluated</v>
      </c>
      <c r="AB27" s="169">
        <v>138139.36499999999</v>
      </c>
      <c r="AC27" s="169">
        <v>-323952.2</v>
      </c>
      <c r="AD27" s="170">
        <v>580.76499999999999</v>
      </c>
    </row>
    <row r="28" spans="2:30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f>K27+1</f>
        <v>1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tr">
        <f t="shared" ref="R28:R84" si="0">IF(H28&lt;&gt;"",H28,"")</f>
        <v>Simplified formula used, therefore not used directly (but reported here for info)</v>
      </c>
      <c r="AB28" s="169">
        <v>0.1330700007</v>
      </c>
      <c r="AC28" s="169">
        <v>-302637.40000000002</v>
      </c>
      <c r="AD28" s="170">
        <v>3348000</v>
      </c>
    </row>
    <row r="29" spans="2:30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  <c r="AB29" s="169">
        <v>27628.027699999999</v>
      </c>
      <c r="AC29" s="169">
        <v>-302637.40000000002</v>
      </c>
      <c r="AD29" s="170">
        <v>232543</v>
      </c>
    </row>
    <row r="30" spans="2:30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0"/>
        <v/>
      </c>
      <c r="AB30" s="169">
        <v>55255.900699999998</v>
      </c>
      <c r="AC30" s="169">
        <v>-302637.40000000002</v>
      </c>
      <c r="AD30" s="170">
        <v>235453</v>
      </c>
    </row>
    <row r="31" spans="2:30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f>K28+1</f>
        <v>2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tr">
        <f t="shared" si="0"/>
        <v>Design value of preload, simplified formula</v>
      </c>
      <c r="AB31" s="169">
        <v>82883.619000000006</v>
      </c>
      <c r="AC31" s="169">
        <v>-302637.40000000002</v>
      </c>
      <c r="AD31" s="170">
        <v>111586</v>
      </c>
    </row>
    <row r="32" spans="2:30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tr">
        <f t="shared" si="0"/>
        <v/>
      </c>
      <c r="AB32" s="169">
        <v>110511.492</v>
      </c>
      <c r="AC32" s="169">
        <v>-302637.40000000002</v>
      </c>
      <c r="AD32" s="170">
        <v>40517.300000000003</v>
      </c>
    </row>
    <row r="33" spans="2:30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  <c r="AB33" s="169">
        <v>138139.36499999999</v>
      </c>
      <c r="AC33" s="169">
        <v>-302637.40000000002</v>
      </c>
      <c r="AD33" s="170">
        <v>7179.93</v>
      </c>
    </row>
    <row r="34" spans="2:30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tr">
        <f t="shared" si="0"/>
        <v>Design preload averaged over 5 bolts</v>
      </c>
      <c r="AB34" s="169">
        <v>165767.23800000001</v>
      </c>
      <c r="AC34" s="169">
        <v>-302637.40000000002</v>
      </c>
      <c r="AD34" s="170">
        <v>1227.22</v>
      </c>
    </row>
    <row r="35" spans="2:30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0</v>
      </c>
      <c r="F35" s="129" t="s">
        <v>86</v>
      </c>
      <c r="G35" s="129"/>
      <c r="H35" s="132" t="s">
        <v>197</v>
      </c>
      <c r="I35" s="140"/>
      <c r="J35" s="132"/>
      <c r="K35" s="131">
        <f>K31+1</f>
        <v>3</v>
      </c>
      <c r="L35" s="130" t="s">
        <v>276</v>
      </c>
      <c r="M35" s="130" t="s">
        <v>128</v>
      </c>
      <c r="N35" s="129">
        <v>0</v>
      </c>
      <c r="O35" s="129">
        <v>0</v>
      </c>
      <c r="P35" s="129">
        <v>0</v>
      </c>
      <c r="Q35" s="129">
        <v>0</v>
      </c>
      <c r="R35" t="str">
        <f t="shared" si="0"/>
        <v>Limit value for HV bolts</v>
      </c>
      <c r="AB35" s="169">
        <v>193395.111</v>
      </c>
      <c r="AC35" s="169">
        <v>-302637.40000000002</v>
      </c>
      <c r="AD35" s="170">
        <v>435.755</v>
      </c>
    </row>
    <row r="36" spans="2:30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tr">
        <f t="shared" si="0"/>
        <v/>
      </c>
      <c r="AB36" s="169">
        <v>221022.984</v>
      </c>
      <c r="AC36" s="169">
        <v>-302637.40000000002</v>
      </c>
      <c r="AD36" s="170">
        <v>10.865</v>
      </c>
    </row>
    <row r="37" spans="2:30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tr">
        <f t="shared" si="0"/>
        <v/>
      </c>
      <c r="AB37" s="169">
        <v>0.1330700007</v>
      </c>
      <c r="AC37" s="169">
        <v>-281322.59999999998</v>
      </c>
      <c r="AD37" s="170">
        <v>5872260</v>
      </c>
    </row>
    <row r="38" spans="2:30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tr">
        <f t="shared" si="0"/>
        <v/>
      </c>
      <c r="AB38" s="169">
        <v>27628.027699999999</v>
      </c>
      <c r="AC38" s="169">
        <v>-281322.59999999998</v>
      </c>
      <c r="AD38" s="170">
        <v>316034</v>
      </c>
    </row>
    <row r="39" spans="2:30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4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tr">
        <f t="shared" si="0"/>
        <v/>
      </c>
      <c r="AB39" s="169">
        <v>55255.900699999998</v>
      </c>
      <c r="AC39" s="169">
        <v>-281322.59999999998</v>
      </c>
      <c r="AD39" s="170">
        <v>234412</v>
      </c>
    </row>
    <row r="40" spans="2:30" ht="15.6">
      <c r="B40" s="106"/>
      <c r="C40" s="105" t="s">
        <v>192</v>
      </c>
      <c r="D40" s="103" t="s">
        <v>274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126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  <c r="AB40" s="169">
        <v>82883.619000000006</v>
      </c>
      <c r="AC40" s="169">
        <v>-281322.59999999998</v>
      </c>
      <c r="AD40" s="170">
        <v>95883.4</v>
      </c>
    </row>
    <row r="41" spans="2:30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f>K39+1</f>
        <v>5</v>
      </c>
      <c r="L41" s="103" t="s">
        <v>191</v>
      </c>
      <c r="M41" s="103" t="s">
        <v>126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  <c r="AB41" s="169">
        <v>110511.492</v>
      </c>
      <c r="AC41" s="169">
        <v>-281322.59999999998</v>
      </c>
      <c r="AD41" s="170">
        <v>39802.5</v>
      </c>
    </row>
    <row r="42" spans="2:30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103" si="1">K41+1</f>
        <v>6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0"/>
        <v/>
      </c>
      <c r="AB42" s="169">
        <v>138139.36499999999</v>
      </c>
      <c r="AC42" s="169">
        <v>-281322.59999999998</v>
      </c>
      <c r="AD42" s="170">
        <v>17664.900000000001</v>
      </c>
    </row>
    <row r="43" spans="2:30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694.92799349999996</v>
      </c>
      <c r="F43" s="107" t="s">
        <v>86</v>
      </c>
      <c r="G43" s="107"/>
      <c r="H43" t="s">
        <v>187</v>
      </c>
      <c r="I43" s="143"/>
      <c r="J43" s="142"/>
      <c r="K43" s="106">
        <f t="shared" si="1"/>
        <v>7</v>
      </c>
      <c r="L43" s="103" t="s">
        <v>188</v>
      </c>
      <c r="M43" s="103" t="s">
        <v>184</v>
      </c>
      <c r="N43" s="107">
        <v>694.92799349999996</v>
      </c>
      <c r="O43" s="107">
        <v>694.92799349999996</v>
      </c>
      <c r="P43" s="107">
        <v>694.92799349999996</v>
      </c>
      <c r="Q43" s="107">
        <v>694.92799349999996</v>
      </c>
      <c r="R43" t="str">
        <f t="shared" si="0"/>
        <v>Note: S1 loads not included here, only FLS loads</v>
      </c>
      <c r="AB43" s="169">
        <v>165767.23800000001</v>
      </c>
      <c r="AC43" s="169">
        <v>-281322.59999999998</v>
      </c>
      <c r="AD43" s="170">
        <v>7178.63</v>
      </c>
    </row>
    <row r="44" spans="2:30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f t="shared" si="1"/>
        <v>8</v>
      </c>
      <c r="L44" s="103" t="s">
        <v>186</v>
      </c>
      <c r="M44" s="103" t="s">
        <v>184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tr">
        <f t="shared" si="0"/>
        <v/>
      </c>
      <c r="AB44" s="169">
        <v>193395.111</v>
      </c>
      <c r="AC44" s="169">
        <v>-281322.59999999998</v>
      </c>
      <c r="AD44" s="170">
        <v>3570.11</v>
      </c>
    </row>
    <row r="45" spans="2:30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-694.92799349999996</v>
      </c>
      <c r="F45" s="107" t="s">
        <v>86</v>
      </c>
      <c r="G45" s="107"/>
      <c r="I45" s="143"/>
      <c r="J45" s="142"/>
      <c r="K45" s="106">
        <f t="shared" si="1"/>
        <v>9</v>
      </c>
      <c r="L45" s="103" t="s">
        <v>185</v>
      </c>
      <c r="M45" s="103" t="s">
        <v>184</v>
      </c>
      <c r="N45" s="107">
        <v>-694.92799349999996</v>
      </c>
      <c r="O45" s="107">
        <v>-694.92799349999996</v>
      </c>
      <c r="P45" s="107">
        <v>-694.92799349999996</v>
      </c>
      <c r="Q45" s="107">
        <v>-694.92799349999996</v>
      </c>
      <c r="R45" t="str">
        <f t="shared" si="0"/>
        <v/>
      </c>
      <c r="AB45" s="169">
        <v>221022.984</v>
      </c>
      <c r="AC45" s="169">
        <v>-281322.59999999998</v>
      </c>
      <c r="AD45" s="170">
        <v>317.21499999999997</v>
      </c>
    </row>
    <row r="46" spans="2:30" ht="15.6">
      <c r="B46" s="106"/>
      <c r="C46" s="103" t="s">
        <v>183</v>
      </c>
      <c r="D46" s="103" t="s">
        <v>128</v>
      </c>
      <c r="E46" s="111" cm="1">
        <f t="array" ref="E46">INDEX(N46:Q46,case_number)</f>
        <v>1746.7113300610752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1746.7113300610752</v>
      </c>
      <c r="O46" s="111">
        <v>1746.7113300610752</v>
      </c>
      <c r="P46" s="111">
        <v>1746.7113300610752</v>
      </c>
      <c r="Q46" s="111">
        <v>1746.7113300610752</v>
      </c>
      <c r="R46" t="str">
        <f t="shared" si="0"/>
        <v/>
      </c>
      <c r="AB46" s="169">
        <v>248650.85699999999</v>
      </c>
      <c r="AC46" s="169">
        <v>-281322.59999999998</v>
      </c>
      <c r="AD46" s="170">
        <v>56.325000000000003</v>
      </c>
    </row>
    <row r="47" spans="2:30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f>K45+1</f>
        <v>10</v>
      </c>
      <c r="L47" s="103" t="s">
        <v>182</v>
      </c>
      <c r="M47" s="103" t="s">
        <v>123</v>
      </c>
      <c r="N47" s="104"/>
      <c r="O47" s="104"/>
      <c r="P47" s="104"/>
      <c r="Q47" s="104"/>
      <c r="R47" t="str">
        <f t="shared" si="0"/>
        <v>(valid in case L-Flange is calculated)</v>
      </c>
      <c r="AB47" s="169">
        <v>0.1330700007</v>
      </c>
      <c r="AC47" s="169">
        <v>-260007.8</v>
      </c>
      <c r="AD47" s="170">
        <v>9471380</v>
      </c>
    </row>
    <row r="48" spans="2:30" ht="15.6">
      <c r="B48" s="106"/>
      <c r="C48" s="105" t="s">
        <v>181</v>
      </c>
      <c r="D48" s="103" t="s">
        <v>180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2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  <c r="AB48" s="169">
        <v>27628.027699999999</v>
      </c>
      <c r="AC48" s="169">
        <v>-260007.8</v>
      </c>
      <c r="AD48" s="170">
        <v>675005</v>
      </c>
    </row>
    <row r="49" spans="2:30" ht="15.6">
      <c r="B49" s="106"/>
      <c r="C49" s="103" t="s">
        <v>179</v>
      </c>
      <c r="D49" s="103" t="s">
        <v>173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2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  <c r="AB49" s="169">
        <v>55255.900699999998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2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  <c r="AB50" s="169">
        <v>82883.619000000006</v>
      </c>
      <c r="AC50" s="169">
        <v>-260007.8</v>
      </c>
      <c r="AD50" s="170">
        <v>198094</v>
      </c>
    </row>
    <row r="51" spans="2:30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2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  <c r="AB51" s="169">
        <v>110511.492</v>
      </c>
      <c r="AC51" s="169">
        <v>-260007.8</v>
      </c>
      <c r="AD51" s="170">
        <v>50147</v>
      </c>
    </row>
    <row r="52" spans="2:30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2"/>
        <v>1.9292434864416651E-16</v>
      </c>
      <c r="I52" s="143"/>
      <c r="J52" s="142"/>
      <c r="K52" s="106">
        <f>K47+1</f>
        <v>11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  <c r="AB52" s="169">
        <v>138139.36499999999</v>
      </c>
      <c r="AC52" s="169">
        <v>-260007.8</v>
      </c>
      <c r="AD52" s="170">
        <v>19212.400000000001</v>
      </c>
    </row>
    <row r="53" spans="2:30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2"/>
        <v>-1.825671107581705E-16</v>
      </c>
      <c r="I53" s="143"/>
      <c r="J53" s="142"/>
      <c r="K53" s="106">
        <f t="shared" si="1"/>
        <v>12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  <c r="AB53" s="169">
        <v>165767.23800000001</v>
      </c>
      <c r="AC53" s="169">
        <v>-260007.8</v>
      </c>
      <c r="AD53" s="170">
        <v>11170.4</v>
      </c>
    </row>
    <row r="54" spans="2:30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  <c r="AB54" s="169">
        <v>193395.111</v>
      </c>
      <c r="AC54" s="169">
        <v>-260007.8</v>
      </c>
      <c r="AD54" s="170">
        <v>6492.5</v>
      </c>
    </row>
    <row r="55" spans="2:30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13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  <c r="AB55" s="169">
        <v>221022.984</v>
      </c>
      <c r="AC55" s="169">
        <v>-260007.8</v>
      </c>
      <c r="AD55" s="170">
        <v>2061.4299999999998</v>
      </c>
    </row>
    <row r="56" spans="2:30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1"/>
        <v>14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  <c r="AB56" s="169">
        <v>248650.85699999999</v>
      </c>
      <c r="AC56" s="169">
        <v>-260007.8</v>
      </c>
      <c r="AD56" s="170">
        <v>1137.06</v>
      </c>
    </row>
    <row r="57" spans="2:30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1"/>
      <c r="J57" s="142"/>
      <c r="K57" s="106">
        <f t="shared" si="1"/>
        <v>15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  <c r="AB57" s="169">
        <v>276278.73</v>
      </c>
      <c r="AC57" s="169">
        <v>-260007.8</v>
      </c>
      <c r="AD57" s="170">
        <v>22.55</v>
      </c>
    </row>
    <row r="58" spans="2:30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-1.6996879926957522</v>
      </c>
      <c r="F58" s="109" t="s">
        <v>86</v>
      </c>
      <c r="G58" s="109"/>
      <c r="I58" s="141"/>
      <c r="J58" s="142"/>
      <c r="K58" s="106">
        <f t="shared" si="1"/>
        <v>16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  <c r="AB58" s="169">
        <v>0.1330700007</v>
      </c>
      <c r="AC58" s="169">
        <v>-238693</v>
      </c>
      <c r="AD58" s="170">
        <v>11580800</v>
      </c>
    </row>
    <row r="59" spans="2:30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-0.13232393428252798</v>
      </c>
      <c r="F59" s="113" t="s">
        <v>86</v>
      </c>
      <c r="G59" s="109"/>
      <c r="I59" s="143"/>
      <c r="J59" s="142"/>
      <c r="K59" s="106">
        <f t="shared" si="1"/>
        <v>17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  <c r="AB59" s="169">
        <v>27628.027699999999</v>
      </c>
      <c r="AC59" s="169">
        <v>-238693</v>
      </c>
      <c r="AD59" s="170">
        <v>846889</v>
      </c>
    </row>
    <row r="60" spans="2:30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3">(F60-E60)/E60</f>
        <v>6.3367559145939581E-16</v>
      </c>
      <c r="I60" s="143"/>
      <c r="J60" s="142"/>
      <c r="K60" s="106">
        <f t="shared" si="1"/>
        <v>18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  <c r="AB60" s="169">
        <v>55255.900699999998</v>
      </c>
      <c r="AC60" s="169">
        <v>-238693</v>
      </c>
      <c r="AD60" s="170">
        <v>627169</v>
      </c>
    </row>
    <row r="61" spans="2:30" ht="15.6">
      <c r="B61" s="106"/>
      <c r="C61" s="103" t="s">
        <v>166</v>
      </c>
      <c r="D61" s="103" t="s">
        <v>126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3"/>
        <v>6.3367559145939581E-16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  <c r="AB61" s="169">
        <v>82883.619000000006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f>K60+1</f>
        <v>19</v>
      </c>
      <c r="L62" s="103" t="s">
        <v>164</v>
      </c>
      <c r="M62" s="103"/>
      <c r="N62" s="128"/>
      <c r="O62" s="128"/>
      <c r="P62" s="128"/>
      <c r="Q62" s="128"/>
      <c r="R62" t="str">
        <f t="shared" si="0"/>
        <v>Gap shape formula</v>
      </c>
      <c r="AB62" s="169">
        <v>110511.492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f t="shared" si="1"/>
        <v>20</v>
      </c>
      <c r="L63" s="112" t="s">
        <v>162</v>
      </c>
      <c r="M63" s="103"/>
      <c r="N63" s="128"/>
      <c r="O63" s="128"/>
      <c r="P63" s="128"/>
      <c r="Q63" s="128"/>
      <c r="R63" t="str">
        <f t="shared" si="0"/>
        <v>Stress range formula</v>
      </c>
      <c r="AB63" s="169">
        <v>138139.36499999999</v>
      </c>
      <c r="AC63" s="169">
        <v>-238693</v>
      </c>
      <c r="AD63" s="170">
        <v>29240.7</v>
      </c>
    </row>
    <row r="64" spans="2:30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f t="shared" si="1"/>
        <v>21</v>
      </c>
      <c r="L64" s="103" t="s">
        <v>160</v>
      </c>
      <c r="M64" s="103"/>
      <c r="N64" s="104"/>
      <c r="O64" s="104"/>
      <c r="P64" s="104"/>
      <c r="Q64" s="104"/>
      <c r="R64" t="str">
        <f t="shared" si="0"/>
        <v/>
      </c>
      <c r="AB64" s="169">
        <v>165767.23800000001</v>
      </c>
      <c r="AC64" s="169">
        <v>-238693</v>
      </c>
      <c r="AD64" s="170">
        <v>11043.4</v>
      </c>
    </row>
    <row r="65" spans="2:30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f t="shared" si="1"/>
        <v>22</v>
      </c>
      <c r="L65" s="103" t="s">
        <v>159</v>
      </c>
      <c r="M65" s="103"/>
      <c r="N65" s="104"/>
      <c r="O65" s="104"/>
      <c r="P65" s="104"/>
      <c r="Q65" s="104"/>
      <c r="R65" t="str">
        <f t="shared" si="0"/>
        <v/>
      </c>
      <c r="AB65" s="169">
        <v>193395.111</v>
      </c>
      <c r="AC65" s="169">
        <v>-238693</v>
      </c>
      <c r="AD65" s="170">
        <v>6030.38</v>
      </c>
    </row>
    <row r="66" spans="2:30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f t="shared" si="1"/>
        <v>23</v>
      </c>
      <c r="L66" s="103" t="s">
        <v>158</v>
      </c>
      <c r="M66" s="103"/>
      <c r="N66" s="128"/>
      <c r="O66" s="128"/>
      <c r="P66" s="128"/>
      <c r="Q66" s="128"/>
      <c r="R66" t="str">
        <f t="shared" si="0"/>
        <v>Summarized formula for bolt force curve</v>
      </c>
      <c r="AB66" s="169">
        <v>221022.984</v>
      </c>
      <c r="AC66" s="169">
        <v>-238693</v>
      </c>
      <c r="AD66" s="170">
        <v>1930.07</v>
      </c>
    </row>
    <row r="67" spans="2:30" ht="15.6">
      <c r="B67" s="106"/>
      <c r="C67" s="103" t="s">
        <v>320</v>
      </c>
      <c r="D67" s="103" t="s">
        <v>128</v>
      </c>
      <c r="E67" s="109" cm="1">
        <f t="array" ref="E67">INDEX(N67:Q67,case_number)</f>
        <v>-105.82</v>
      </c>
      <c r="F67" s="109" cm="1">
        <f t="array" aca="1" ref="F67" ca="1">INDIRECT(sheet_name&amp;"!Point1.Z")</f>
        <v>-105.82</v>
      </c>
      <c r="G67" s="118">
        <f t="shared" ref="G67" ca="1" si="4">(F67-E67)/E67</f>
        <v>0</v>
      </c>
      <c r="K67" s="106"/>
      <c r="L67" s="103" t="s">
        <v>320</v>
      </c>
      <c r="M67" s="103" t="s">
        <v>128</v>
      </c>
      <c r="N67" s="109">
        <v>-105.82</v>
      </c>
      <c r="O67" s="109">
        <v>-105.82</v>
      </c>
      <c r="P67" s="109">
        <v>-105.82</v>
      </c>
      <c r="Q67" s="109">
        <v>-105.82</v>
      </c>
      <c r="AB67" s="169">
        <v>248650.85699999999</v>
      </c>
      <c r="AC67" s="169">
        <v>-238693</v>
      </c>
      <c r="AD67" s="170">
        <v>362.6</v>
      </c>
    </row>
    <row r="68" spans="2:30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5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276278.73</v>
      </c>
      <c r="AC68" s="169">
        <v>-238693</v>
      </c>
      <c r="AD68" s="170">
        <v>56.27</v>
      </c>
    </row>
    <row r="69" spans="2:30" ht="15.6">
      <c r="B69" s="106"/>
      <c r="C69" s="103" t="s">
        <v>318</v>
      </c>
      <c r="D69" s="103" t="s">
        <v>128</v>
      </c>
      <c r="E69" s="108" cm="1">
        <f t="array" ref="E69">INDEX(N69:Q69,case_number)</f>
        <v>1274.7774691765385</v>
      </c>
      <c r="F69" s="108" cm="1">
        <f t="array" aca="1" ref="F69" ca="1">INDIRECT(sheet_name&amp;"!Point2.Z")</f>
        <v>1274.8511962993814</v>
      </c>
      <c r="G69" s="118">
        <f t="shared" ca="1" si="5"/>
        <v>5.7835288609655114E-5</v>
      </c>
      <c r="K69" s="106"/>
      <c r="L69" s="103" t="s">
        <v>318</v>
      </c>
      <c r="M69" s="103" t="s">
        <v>128</v>
      </c>
      <c r="N69" s="109">
        <v>1274.7774691765385</v>
      </c>
      <c r="O69" s="109">
        <v>1218.7366312482229</v>
      </c>
      <c r="P69" s="109">
        <v>1143.0624672353288</v>
      </c>
      <c r="Q69" s="109">
        <v>1151.8549939606207</v>
      </c>
      <c r="AB69" s="169">
        <v>359162.34899999999</v>
      </c>
      <c r="AC69" s="169">
        <v>-238693</v>
      </c>
      <c r="AD69" s="170">
        <v>10.865</v>
      </c>
    </row>
    <row r="70" spans="2:30" ht="15.6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5"/>
        <v>0</v>
      </c>
      <c r="K70" s="106"/>
      <c r="L70" s="103" t="s">
        <v>317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  <c r="AB70" s="169">
        <v>0.1330700007</v>
      </c>
      <c r="AC70" s="169">
        <v>-217378.2</v>
      </c>
      <c r="AD70" s="170">
        <v>11103500</v>
      </c>
    </row>
    <row r="71" spans="2:30" ht="15.6">
      <c r="B71" s="106"/>
      <c r="C71" s="103" t="s">
        <v>316</v>
      </c>
      <c r="D71" s="103" t="s">
        <v>128</v>
      </c>
      <c r="E71" s="107" cm="1">
        <f t="array" ref="E71">INDEX(N71:Q71,case_number)</f>
        <v>121.86413755978657</v>
      </c>
      <c r="F71" s="107" cm="1">
        <f t="array" aca="1" ref="F71" ca="1">INDIRECT(sheet_name&amp;"!Point3.Z")</f>
        <v>121.86421587998476</v>
      </c>
      <c r="G71" s="118">
        <f t="shared" ca="1" si="5"/>
        <v>6.4268454816111971E-7</v>
      </c>
      <c r="K71" s="106"/>
      <c r="L71" s="103" t="s">
        <v>316</v>
      </c>
      <c r="M71" s="103" t="s">
        <v>128</v>
      </c>
      <c r="N71" s="109">
        <v>121.86413755978657</v>
      </c>
      <c r="O71" s="109">
        <v>119.2407862158138</v>
      </c>
      <c r="P71" s="109">
        <v>118.26208963625672</v>
      </c>
      <c r="Q71" s="109">
        <v>117.46257337766376</v>
      </c>
      <c r="AB71" s="169">
        <v>27628.027699999999</v>
      </c>
      <c r="AC71" s="169">
        <v>-217378.2</v>
      </c>
      <c r="AD71" s="170">
        <v>710137</v>
      </c>
    </row>
    <row r="72" spans="2:30" ht="15.6">
      <c r="B72" s="106"/>
      <c r="C72" s="103" t="s">
        <v>315</v>
      </c>
      <c r="D72" s="103" t="s">
        <v>128</v>
      </c>
      <c r="E72" s="107" cm="1">
        <f t="array" ref="E72">INDEX(N72:Q72,case_number)</f>
        <v>943.73107505094413</v>
      </c>
      <c r="F72" s="107" cm="1">
        <f t="array" aca="1" ref="F72" ca="1">INDIRECT(sheet_name&amp;"!Point3.Fs")</f>
        <v>943.72990843012087</v>
      </c>
      <c r="G72" s="118">
        <f t="shared" ca="1" si="5"/>
        <v>-1.2361793037200717E-6</v>
      </c>
      <c r="K72" s="106"/>
      <c r="L72" s="103" t="s">
        <v>315</v>
      </c>
      <c r="M72" s="103" t="s">
        <v>128</v>
      </c>
      <c r="N72" s="109">
        <v>943.73107505094413</v>
      </c>
      <c r="O72" s="109">
        <v>943.94078198387206</v>
      </c>
      <c r="P72" s="109">
        <v>944.7727063135959</v>
      </c>
      <c r="Q72" s="109">
        <v>944.48541577949902</v>
      </c>
      <c r="AB72" s="169">
        <v>55255.900699999998</v>
      </c>
      <c r="AC72" s="169">
        <v>-217378.2</v>
      </c>
      <c r="AD72" s="170">
        <v>487653</v>
      </c>
    </row>
    <row r="73" spans="2:30" ht="15.6">
      <c r="B73" s="106"/>
      <c r="C73" s="103" t="s">
        <v>314</v>
      </c>
      <c r="D73" s="103"/>
      <c r="E73" s="107" cm="1">
        <f t="array" ref="E73">INDEX(N73:Q73,case_number)</f>
        <v>362406942.7798689</v>
      </c>
      <c r="F73" s="110" t="s">
        <v>86</v>
      </c>
      <c r="G73" s="110"/>
      <c r="K73" s="106"/>
      <c r="L73" s="103" t="s">
        <v>314</v>
      </c>
      <c r="M73" s="103"/>
      <c r="N73" s="110">
        <v>362406942.7798689</v>
      </c>
      <c r="O73" s="110">
        <v>327766040.999538</v>
      </c>
      <c r="P73" s="110">
        <v>286792633.02571553</v>
      </c>
      <c r="Q73" s="110">
        <v>290474882.36967289</v>
      </c>
      <c r="AB73" s="169">
        <v>82883.619000000006</v>
      </c>
      <c r="AC73" s="169">
        <v>-217378.2</v>
      </c>
      <c r="AD73" s="170">
        <v>200482</v>
      </c>
    </row>
    <row r="74" spans="2:30" ht="15.6">
      <c r="B74" s="106"/>
      <c r="C74" s="103" t="s">
        <v>313</v>
      </c>
      <c r="D74" s="103"/>
      <c r="E74" s="107" cm="1">
        <f t="array" ref="E74">INDEX(N74:Q74,case_number)</f>
        <v>31104.437511110835</v>
      </c>
      <c r="F74" s="111" t="s">
        <v>86</v>
      </c>
      <c r="G74" s="111"/>
      <c r="K74" s="106"/>
      <c r="L74" s="103" t="s">
        <v>313</v>
      </c>
      <c r="M74" s="103"/>
      <c r="N74" s="111">
        <v>31104.437511110835</v>
      </c>
      <c r="O74" s="111">
        <v>31099.633918048865</v>
      </c>
      <c r="P74" s="111">
        <v>31039.905952474332</v>
      </c>
      <c r="Q74" s="111">
        <v>31068.261832698241</v>
      </c>
      <c r="AB74" s="169">
        <v>110511.492</v>
      </c>
      <c r="AC74" s="169">
        <v>-217378.2</v>
      </c>
      <c r="AD74" s="170">
        <v>85421.6</v>
      </c>
    </row>
    <row r="75" spans="2:30" ht="15.6">
      <c r="B75" s="106"/>
      <c r="C75" s="103" t="s">
        <v>312</v>
      </c>
      <c r="D75" s="103"/>
      <c r="E75" s="107" cm="1">
        <f t="array" ref="E75">INDEX(N75:Q75,case_number)</f>
        <v>24540253.447811056</v>
      </c>
      <c r="F75" s="111" t="s">
        <v>86</v>
      </c>
      <c r="G75" s="111"/>
      <c r="K75" s="106"/>
      <c r="L75" s="103" t="s">
        <v>312</v>
      </c>
      <c r="M75" s="103"/>
      <c r="N75" s="111">
        <v>24540253.447811056</v>
      </c>
      <c r="O75" s="111">
        <v>22797888.830043465</v>
      </c>
      <c r="P75" s="111">
        <v>21080434.503905557</v>
      </c>
      <c r="Q75" s="111">
        <v>21084648.881092805</v>
      </c>
      <c r="AB75" s="169">
        <v>138139.36499999999</v>
      </c>
      <c r="AC75" s="169">
        <v>-217378.2</v>
      </c>
      <c r="AD75" s="170">
        <v>33285.699999999997</v>
      </c>
    </row>
    <row r="76" spans="2:30" ht="15.6">
      <c r="B76" s="106"/>
      <c r="C76" s="105" t="s">
        <v>311</v>
      </c>
      <c r="D76" s="103"/>
      <c r="E76" s="145" cm="1">
        <f t="array" ref="E76">INDEX(N76:Q76,case_number)</f>
        <v>8.5827377567664623E-5</v>
      </c>
      <c r="F76" s="145" cm="1">
        <f t="array" aca="1" ref="F76" ca="1">INDIRECT(sheet_name&amp;"!Fs_coeff.tens.2")*1000</f>
        <v>8.5818577051015503E-5</v>
      </c>
      <c r="G76" s="118">
        <f t="shared" ref="G76:G78" ca="1" si="6">(F76-E76)/E76</f>
        <v>-1.0253740587824173E-4</v>
      </c>
      <c r="K76" s="106"/>
      <c r="L76" s="105" t="s">
        <v>311</v>
      </c>
      <c r="M76" s="103"/>
      <c r="N76" s="155">
        <v>8.5827377567664623E-5</v>
      </c>
      <c r="O76" s="155">
        <v>9.4883636581779687E-5</v>
      </c>
      <c r="P76" s="155">
        <v>1.0823118301539883E-4</v>
      </c>
      <c r="Q76" s="155">
        <v>1.0695679288772105E-4</v>
      </c>
      <c r="AB76" s="169">
        <v>165767.23800000001</v>
      </c>
      <c r="AC76" s="169">
        <v>-217378.2</v>
      </c>
      <c r="AD76" s="170">
        <v>23038.9</v>
      </c>
    </row>
    <row r="77" spans="2:30" ht="15.6">
      <c r="B77" s="106"/>
      <c r="C77" s="105" t="s">
        <v>310</v>
      </c>
      <c r="D77" s="103"/>
      <c r="E77" s="145" cm="1">
        <f t="array" ref="E77">INDEX(N77:Q77,case_number)</f>
        <v>6.7714633885248579E-2</v>
      </c>
      <c r="F77" s="145" cm="1">
        <f t="array" aca="1" ref="F77" ca="1">INDIRECT(sheet_name&amp;"!Fs_coeff.tens.1")</f>
        <v>6.7709620739423604E-2</v>
      </c>
      <c r="G77" s="118">
        <f t="shared" ca="1" si="6"/>
        <v>-7.4033418440549965E-5</v>
      </c>
      <c r="K77" s="106"/>
      <c r="L77" s="105" t="s">
        <v>310</v>
      </c>
      <c r="M77" s="103"/>
      <c r="N77" s="155">
        <v>6.7714633885248579E-2</v>
      </c>
      <c r="O77" s="155">
        <v>6.9555371753950559E-2</v>
      </c>
      <c r="P77" s="155">
        <v>7.3504100441852557E-2</v>
      </c>
      <c r="Q77" s="155">
        <v>7.2586823029536243E-2</v>
      </c>
      <c r="AB77" s="169">
        <v>193395.111</v>
      </c>
      <c r="AC77" s="169">
        <v>-217378.2</v>
      </c>
      <c r="AD77" s="170">
        <v>9696.7199999999993</v>
      </c>
    </row>
    <row r="78" spans="2:30" ht="14.4">
      <c r="B78" s="106"/>
      <c r="C78" s="112" t="s">
        <v>309</v>
      </c>
      <c r="D78" s="103"/>
      <c r="E78" s="108" cm="1">
        <f t="array" ref="E78">INDEX(N78:Q78,case_number)</f>
        <v>934.20447853530766</v>
      </c>
      <c r="F78" s="107" cm="1">
        <f t="array" aca="1" ref="F78" ca="1">INDIRECT(sheet_name&amp;"!Fs_coeff.tens.0")/1000</f>
        <v>934.20404659127894</v>
      </c>
      <c r="G78" s="118">
        <f t="shared" ca="1" si="6"/>
        <v>-4.623656154980845E-7</v>
      </c>
      <c r="K78" s="106"/>
      <c r="L78" s="112" t="s">
        <v>309</v>
      </c>
      <c r="M78" s="103"/>
      <c r="N78" s="108">
        <v>934.20447853530766</v>
      </c>
      <c r="O78" s="108">
        <v>934.29785458371225</v>
      </c>
      <c r="P78" s="108">
        <v>934.56624493164941</v>
      </c>
      <c r="Q78" s="108">
        <v>934.48344909391551</v>
      </c>
      <c r="AB78" s="169">
        <v>221022.984</v>
      </c>
      <c r="AC78" s="169">
        <v>-217378.2</v>
      </c>
      <c r="AD78" s="170">
        <v>2869.39</v>
      </c>
    </row>
    <row r="79" spans="2:30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428.90820975809663</v>
      </c>
      <c r="F79" s="107" cm="1">
        <f t="array" aca="1" ref="F79" ca="1">-INDIRECT(sheet_name&amp;"!DZ_gap")</f>
        <v>428.90821899701831</v>
      </c>
      <c r="G79" s="118">
        <f ca="1">(F79-E79)/E79</f>
        <v>2.1540556854087304E-8</v>
      </c>
      <c r="I79" s="139"/>
      <c r="K79" s="106">
        <f>K66+1</f>
        <v>24</v>
      </c>
      <c r="L79" s="105" t="s">
        <v>156</v>
      </c>
      <c r="M79" s="103" t="s">
        <v>128</v>
      </c>
      <c r="N79" s="107">
        <v>428.90820975809663</v>
      </c>
      <c r="O79" s="107">
        <v>442.08112714188769</v>
      </c>
      <c r="P79" s="107">
        <v>500.97160276016393</v>
      </c>
      <c r="Q79" s="107">
        <v>482.99206261208485</v>
      </c>
      <c r="R79" t="str">
        <f t="shared" si="0"/>
        <v/>
      </c>
      <c r="AB79" s="169">
        <v>248650.85699999999</v>
      </c>
      <c r="AC79" s="169">
        <v>-217378.2</v>
      </c>
      <c r="AD79" s="170">
        <v>2108.6799999999998</v>
      </c>
    </row>
    <row r="80" spans="2:30" ht="15.6">
      <c r="B80" s="106"/>
      <c r="C80" s="103" t="s">
        <v>145</v>
      </c>
      <c r="D80" s="103" t="s">
        <v>144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tr">
        <f t="shared" si="0"/>
        <v/>
      </c>
      <c r="AB80" s="169">
        <v>276278.73</v>
      </c>
      <c r="AC80" s="169">
        <v>-217378.2</v>
      </c>
      <c r="AD80" s="170">
        <v>66.819999999999993</v>
      </c>
    </row>
    <row r="81" spans="2:30" ht="16.8">
      <c r="B81" s="106"/>
      <c r="C81" s="103" t="s">
        <v>143</v>
      </c>
      <c r="D81" s="103" t="s">
        <v>273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7">(F81-E81)/E81</f>
        <v>-1.111295481804798E-16</v>
      </c>
      <c r="I81" s="138"/>
      <c r="K81" s="106"/>
      <c r="L81" s="103" t="s">
        <v>143</v>
      </c>
      <c r="M81" s="103" t="s">
        <v>406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tr">
        <f t="shared" si="0"/>
        <v/>
      </c>
      <c r="AB81" s="169">
        <v>303906.603</v>
      </c>
      <c r="AC81" s="169">
        <v>-217378.2</v>
      </c>
      <c r="AD81" s="170">
        <v>21.73</v>
      </c>
    </row>
    <row r="82" spans="2:30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7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tr">
        <f t="shared" si="0"/>
        <v/>
      </c>
      <c r="AB82" s="169">
        <v>359162.34899999999</v>
      </c>
      <c r="AC82" s="169">
        <v>-217378.2</v>
      </c>
      <c r="AD82" s="170">
        <v>6.2649999999999997</v>
      </c>
    </row>
    <row r="83" spans="2:30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7"/>
        <v>-4.4732112133308286E-16</v>
      </c>
      <c r="I83" s="138"/>
      <c r="K83" s="106"/>
      <c r="L83" s="103" t="s">
        <v>148</v>
      </c>
      <c r="M83" s="103" t="s">
        <v>406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tr">
        <f t="shared" si="0"/>
        <v/>
      </c>
      <c r="AB83" s="169">
        <v>386790.22200000001</v>
      </c>
      <c r="AC83" s="169">
        <v>-217378.2</v>
      </c>
      <c r="AD83" s="170">
        <v>3.12</v>
      </c>
    </row>
    <row r="84" spans="2:30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8412.8474619401441</v>
      </c>
      <c r="F84" s="111" cm="1">
        <f t="array" aca="1" ref="F84" ca="1">INDIRECT(sheet_name&amp;"!gap.stiffness")</f>
        <v>8412.8476431575564</v>
      </c>
      <c r="G84" s="118">
        <f ca="1">(F84-E84)/E84</f>
        <v>2.1540556052945447E-8</v>
      </c>
      <c r="I84" s="138"/>
      <c r="K84" s="106">
        <f>K79+1</f>
        <v>25</v>
      </c>
      <c r="L84" s="103" t="s">
        <v>155</v>
      </c>
      <c r="M84" s="103" t="s">
        <v>135</v>
      </c>
      <c r="N84" s="111">
        <v>8412.8474619401441</v>
      </c>
      <c r="O84" s="111">
        <v>4649.3179623487395</v>
      </c>
      <c r="P84" s="111">
        <v>3245.2538606130393</v>
      </c>
      <c r="Q84" s="111">
        <v>2098.2466053588823</v>
      </c>
      <c r="R84" t="str">
        <f t="shared" si="0"/>
        <v/>
      </c>
      <c r="AB84" s="169">
        <v>0.1330700007</v>
      </c>
      <c r="AC84" s="169">
        <v>-196063.4</v>
      </c>
      <c r="AD84" s="170">
        <v>11335500</v>
      </c>
    </row>
    <row r="85" spans="2:30" ht="15.6">
      <c r="B85" s="106"/>
      <c r="C85" s="103" t="s">
        <v>404</v>
      </c>
      <c r="D85" s="103" t="s">
        <v>123</v>
      </c>
      <c r="E85" s="108" cm="1">
        <f t="array" ref="E85">INDEX(N85:Q85,case_number)</f>
        <v>1.5</v>
      </c>
      <c r="F85" s="108" cm="1">
        <f t="array" aca="1" ref="F85" ca="1">INDIRECT(sheet_name&amp;"!ftot")</f>
        <v>1.5</v>
      </c>
      <c r="G85" s="118">
        <f ca="1">(F85-E85)/E85</f>
        <v>0</v>
      </c>
      <c r="I85" s="138"/>
      <c r="K85" s="106"/>
      <c r="L85" s="103" t="s">
        <v>404</v>
      </c>
      <c r="M85" s="103" t="s">
        <v>123</v>
      </c>
      <c r="N85" s="108">
        <v>1.5</v>
      </c>
      <c r="O85" s="108">
        <v>2</v>
      </c>
      <c r="P85" s="108">
        <v>2.5</v>
      </c>
      <c r="Q85" s="108">
        <v>2.5</v>
      </c>
      <c r="AB85" s="169">
        <v>27628.027699999999</v>
      </c>
      <c r="AC85" s="169">
        <v>-196063.4</v>
      </c>
      <c r="AD85" s="170">
        <v>794046</v>
      </c>
    </row>
    <row r="86" spans="2:30" ht="15.6">
      <c r="B86" s="106">
        <f>B84+1</f>
        <v>27</v>
      </c>
      <c r="C86" s="103" t="s">
        <v>152</v>
      </c>
      <c r="D86" s="103" t="s">
        <v>135</v>
      </c>
      <c r="E86" s="111" cm="1">
        <f t="array" ref="E86">INDEX(N86:Q86,case_number)</f>
        <v>4969.7474220912991</v>
      </c>
      <c r="F86" s="111" t="s">
        <v>86</v>
      </c>
      <c r="G86" s="111"/>
      <c r="H86" t="s">
        <v>154</v>
      </c>
      <c r="I86" s="138"/>
      <c r="K86" s="106">
        <f>K84+1</f>
        <v>26</v>
      </c>
      <c r="L86" s="103" t="s">
        <v>152</v>
      </c>
      <c r="M86" s="103" t="s">
        <v>135</v>
      </c>
      <c r="N86" s="111">
        <v>4969.7474220912991</v>
      </c>
      <c r="O86" s="111">
        <v>2087.6088407482434</v>
      </c>
      <c r="P86" s="111">
        <v>1100.430262890972</v>
      </c>
      <c r="Q86" s="111">
        <v>618.07300717442922</v>
      </c>
      <c r="R86" t="str">
        <f t="shared" ref="R86:R100" si="8">IF(H87&lt;&gt;"",H87,"")</f>
        <v>Simplified formula</v>
      </c>
      <c r="AB86" s="169">
        <v>55255.900699999998</v>
      </c>
      <c r="AC86" s="169">
        <v>-196063.4</v>
      </c>
      <c r="AD86" s="170">
        <v>535406</v>
      </c>
    </row>
    <row r="87" spans="2:30" ht="15.6">
      <c r="B87" s="106"/>
      <c r="C87" s="103" t="s">
        <v>152</v>
      </c>
      <c r="D87" s="103" t="s">
        <v>135</v>
      </c>
      <c r="E87" s="111" cm="1">
        <f t="array" ref="E87">INDEX(N87:Q87,case_number)</f>
        <v>5347.6060878876842</v>
      </c>
      <c r="F87" s="111" cm="1">
        <f t="array" aca="1" ref="F87" ca="1">INDIRECT(sheet_name&amp;"!gap.k_shell")</f>
        <v>5347.6060878876842</v>
      </c>
      <c r="G87" s="118">
        <f ca="1">(F87-E87)/E87</f>
        <v>0</v>
      </c>
      <c r="H87" t="s">
        <v>153</v>
      </c>
      <c r="I87" s="138"/>
      <c r="K87" s="106"/>
      <c r="L87" s="103" t="s">
        <v>152</v>
      </c>
      <c r="M87" s="103" t="s">
        <v>135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tr">
        <f t="shared" si="8"/>
        <v>Value used</v>
      </c>
      <c r="AB87" s="169">
        <v>82883.619000000006</v>
      </c>
      <c r="AC87" s="169">
        <v>-196063.4</v>
      </c>
      <c r="AD87" s="170">
        <v>248475</v>
      </c>
    </row>
    <row r="88" spans="2:30" ht="15.6">
      <c r="B88" s="106"/>
      <c r="C88" s="103" t="s">
        <v>152</v>
      </c>
      <c r="D88" s="103" t="s">
        <v>135</v>
      </c>
      <c r="E88" s="111" cm="1">
        <f t="array" ref="E88">INDEX(N88:Q88,case_number)</f>
        <v>5347.6060878876842</v>
      </c>
      <c r="F88" s="111" cm="1">
        <f t="array" aca="1" ref="F88" ca="1">INDIRECT(sheet_name&amp;"!gap.k_shell")</f>
        <v>5347.6060878876842</v>
      </c>
      <c r="G88" s="118">
        <f ca="1">(F88-E88)/E88</f>
        <v>0</v>
      </c>
      <c r="H88" t="s">
        <v>151</v>
      </c>
      <c r="I88" s="138"/>
      <c r="K88" s="106"/>
      <c r="L88" s="103" t="s">
        <v>152</v>
      </c>
      <c r="M88" s="103" t="s">
        <v>135</v>
      </c>
      <c r="N88" s="111">
        <v>5347.6060878876842</v>
      </c>
      <c r="O88" s="111">
        <v>2307.8784491005872</v>
      </c>
      <c r="P88" s="111">
        <v>1294.7690648871564</v>
      </c>
      <c r="Q88" s="111">
        <v>838.24223860426605</v>
      </c>
      <c r="R88" t="str">
        <f t="shared" si="8"/>
        <v/>
      </c>
      <c r="AB88" s="169">
        <v>110511.492</v>
      </c>
      <c r="AC88" s="169">
        <v>-196063.4</v>
      </c>
      <c r="AD88" s="170">
        <v>104468</v>
      </c>
    </row>
    <row r="89" spans="2:30" ht="15.6">
      <c r="B89" s="106">
        <f>B86+1</f>
        <v>28</v>
      </c>
      <c r="C89" s="103" t="s">
        <v>150</v>
      </c>
      <c r="D89" s="103" t="s">
        <v>123</v>
      </c>
      <c r="E89" s="109" cm="1">
        <f t="array" ref="E89">INDEX(N89:Q89,case_number)</f>
        <v>1.8</v>
      </c>
      <c r="F89" s="109" cm="1">
        <f t="array" aca="1" ref="F89" ca="1">INDIRECT(sheet_name&amp;"!gap.k_fac")</f>
        <v>1.8</v>
      </c>
      <c r="G89" s="118">
        <f ca="1">(F89-E89)/E89</f>
        <v>0</v>
      </c>
      <c r="I89" s="138"/>
      <c r="K89" s="106">
        <f>K86+1</f>
        <v>27</v>
      </c>
      <c r="L89" s="103" t="s">
        <v>150</v>
      </c>
      <c r="M89" s="103" t="s">
        <v>123</v>
      </c>
      <c r="N89" s="109">
        <v>1.8</v>
      </c>
      <c r="O89" s="109">
        <v>2.0853981633974481</v>
      </c>
      <c r="P89" s="109">
        <v>2.4780972450961727</v>
      </c>
      <c r="Q89" s="109">
        <v>2.8707963267948964</v>
      </c>
      <c r="R89" t="str">
        <f t="shared" si="8"/>
        <v/>
      </c>
      <c r="AB89" s="169">
        <v>138139.36499999999</v>
      </c>
      <c r="AC89" s="169">
        <v>-196063.4</v>
      </c>
      <c r="AD89" s="170">
        <v>48131.1</v>
      </c>
    </row>
    <row r="90" spans="2:30" ht="15.6">
      <c r="B90" s="106">
        <f>B89+1</f>
        <v>29</v>
      </c>
      <c r="C90" s="103" t="s">
        <v>147</v>
      </c>
      <c r="D90" s="103" t="s">
        <v>135</v>
      </c>
      <c r="E90" s="107" cm="1">
        <f t="array" ref="E90">INDEX(N90:Q90,case_number)</f>
        <v>260.95888673907825</v>
      </c>
      <c r="F90" s="107" cm="1">
        <f t="array" aca="1" ref="F90" ca="1">INDIRECT(sheet_name&amp;"!gap.k_fl")</f>
        <v>260.95900755068658</v>
      </c>
      <c r="G90" s="118">
        <f ca="1">(F90-E90)/E90</f>
        <v>4.6295265064881885E-7</v>
      </c>
      <c r="I90" s="139"/>
      <c r="K90" s="106">
        <f>K89+1</f>
        <v>28</v>
      </c>
      <c r="L90" s="103" t="s">
        <v>147</v>
      </c>
      <c r="M90" s="103" t="s">
        <v>135</v>
      </c>
      <c r="N90" s="107">
        <v>260.95888673907825</v>
      </c>
      <c r="O90" s="107">
        <v>16.780532073782691</v>
      </c>
      <c r="P90" s="107">
        <v>3.3324793580593299</v>
      </c>
      <c r="Q90" s="107">
        <v>1.0564035392869544</v>
      </c>
      <c r="R90" t="str">
        <f t="shared" si="8"/>
        <v>(valid in case T-Flange is calculated)</v>
      </c>
      <c r="AB90" s="169">
        <v>165767.23800000001</v>
      </c>
      <c r="AC90" s="169">
        <v>-196063.4</v>
      </c>
      <c r="AD90" s="170">
        <v>23220.9</v>
      </c>
    </row>
    <row r="91" spans="2:30" ht="15.6">
      <c r="B91" s="106">
        <f>B90+1</f>
        <v>30</v>
      </c>
      <c r="C91" s="105" t="s">
        <v>146</v>
      </c>
      <c r="D91" s="103" t="s">
        <v>128</v>
      </c>
      <c r="E91" s="108" cm="1">
        <f t="array" ref="E91">INDEX(N91:Q91,case_number)</f>
        <v>336.23632071251666</v>
      </c>
      <c r="F91" s="108" cm="1">
        <f t="array" aca="1" ref="F91" ca="1">-INDIRECT(sheet_name&amp;"!DZ_gap_c")</f>
        <v>336.23625207103021</v>
      </c>
      <c r="G91" s="118">
        <f ca="1">(F91-E91)/E91</f>
        <v>-2.0414655473537948E-7</v>
      </c>
      <c r="H91" t="s">
        <v>307</v>
      </c>
      <c r="I91" s="138"/>
      <c r="K91" s="106">
        <f t="shared" si="1"/>
        <v>29</v>
      </c>
      <c r="L91" s="105" t="s">
        <v>146</v>
      </c>
      <c r="M91" s="103" t="s">
        <v>128</v>
      </c>
      <c r="N91" s="107">
        <v>336.23632071251666</v>
      </c>
      <c r="O91" s="107">
        <v>350.88501931458478</v>
      </c>
      <c r="P91" s="107">
        <v>356.40950095541024</v>
      </c>
      <c r="Q91" s="107">
        <v>358.07448861897069</v>
      </c>
      <c r="R91" t="str">
        <f t="shared" si="8"/>
        <v>(valid in case T-Flange is calculated)</v>
      </c>
      <c r="AB91" s="169">
        <v>193395.111</v>
      </c>
      <c r="AC91" s="169">
        <v>-196063.4</v>
      </c>
      <c r="AD91" s="170">
        <v>12974.6</v>
      </c>
    </row>
    <row r="92" spans="2:30" ht="15.6">
      <c r="B92" s="106">
        <f>B91+1</f>
        <v>31</v>
      </c>
      <c r="C92" s="103" t="s">
        <v>142</v>
      </c>
      <c r="D92" s="103" t="s">
        <v>128</v>
      </c>
      <c r="E92" s="108" cm="1">
        <f t="array" ref="E92">INDEX(N92:Q92,case_number)</f>
        <v>231.89749903285738</v>
      </c>
      <c r="F92" s="108" cm="1">
        <f t="array" aca="1" ref="F92" ca="1">INDIRECT(sheet_name&amp;"!F_V_c")</f>
        <v>231.89764113978492</v>
      </c>
      <c r="G92" s="118">
        <f t="shared" ref="G92" ca="1" si="9">(F92-E92)/E92</f>
        <v>6.1280060429100669E-7</v>
      </c>
      <c r="H92" t="s">
        <v>307</v>
      </c>
      <c r="I92" s="139"/>
      <c r="K92" s="106">
        <f>K91+1</f>
        <v>30</v>
      </c>
      <c r="L92" s="103" t="s">
        <v>142</v>
      </c>
      <c r="M92" s="103" t="s">
        <v>128</v>
      </c>
      <c r="N92" s="107">
        <v>231.89749903285738</v>
      </c>
      <c r="O92" s="107">
        <v>201.57062741112088</v>
      </c>
      <c r="P92" s="107">
        <v>190.13341718179032</v>
      </c>
      <c r="Q92" s="107">
        <v>186.68643062713198</v>
      </c>
      <c r="R92" t="str">
        <f t="shared" si="8"/>
        <v>Inclination used: 341.420661016248deg</v>
      </c>
      <c r="AB92" s="169">
        <v>221022.984</v>
      </c>
      <c r="AC92" s="169">
        <v>-196063.4</v>
      </c>
      <c r="AD92" s="170">
        <v>4267.88</v>
      </c>
    </row>
    <row r="93" spans="2:30" ht="15.6">
      <c r="B93" s="106"/>
      <c r="C93" s="105" t="s">
        <v>141</v>
      </c>
      <c r="D93" s="103" t="s">
        <v>128</v>
      </c>
      <c r="E93" s="110" cm="1">
        <f t="array" ref="E93">INDEX(N93:Q93,case_number)</f>
        <v>341.42066101624766</v>
      </c>
      <c r="F93" s="110" cm="1">
        <f t="array" aca="1" ref="F93" ca="1">-INDIRECT(sheet_name&amp;"!DZ_gap_inclination")</f>
        <v>341.35132096685641</v>
      </c>
      <c r="G93" s="118">
        <f ca="1">IF(AND(E93=0,F93=0), 0, (F93-E93)/E93)</f>
        <v>-2.0309271613752139E-4</v>
      </c>
      <c r="H93" t="str">
        <f>"Inclination used: "&amp;E93&amp;"deg"</f>
        <v>Inclination used: 341.420661016248deg</v>
      </c>
      <c r="I93" s="139"/>
      <c r="K93" s="106"/>
      <c r="L93" s="105" t="s">
        <v>141</v>
      </c>
      <c r="M93" s="103" t="s">
        <v>128</v>
      </c>
      <c r="N93" s="108">
        <v>341.42066101624766</v>
      </c>
      <c r="O93" s="108">
        <v>341.42066101624766</v>
      </c>
      <c r="P93" s="108">
        <v>341.42066101624766</v>
      </c>
      <c r="Q93" s="108">
        <v>341.42066101624766</v>
      </c>
      <c r="R93" t="str">
        <f t="shared" si="8"/>
        <v/>
      </c>
      <c r="AB93" s="169">
        <v>248650.85699999999</v>
      </c>
      <c r="AC93" s="169">
        <v>-196063.4</v>
      </c>
      <c r="AD93" s="170">
        <v>1304.25</v>
      </c>
    </row>
    <row r="94" spans="2:30" ht="15.6">
      <c r="B94" s="106">
        <f>B92+1</f>
        <v>32</v>
      </c>
      <c r="C94" s="105" t="s">
        <v>140</v>
      </c>
      <c r="D94" s="103" t="s">
        <v>128</v>
      </c>
      <c r="E94" s="107" cm="1">
        <f t="array" ref="E94">INDEX(N94:Q94,case_number)</f>
        <v>1106.5651914868608</v>
      </c>
      <c r="F94" s="107" cm="1">
        <f t="array" aca="1" ref="F94" ca="1">-INDIRECT(sheet_name&amp;"!DZ_gap_tot")</f>
        <v>1106.495792034905</v>
      </c>
      <c r="G94" s="107"/>
      <c r="I94" s="138"/>
      <c r="K94" s="106">
        <f>K92+1</f>
        <v>31</v>
      </c>
      <c r="L94" s="105" t="s">
        <v>140</v>
      </c>
      <c r="M94" s="103" t="s">
        <v>128</v>
      </c>
      <c r="N94" s="107">
        <v>1106.5651914868608</v>
      </c>
      <c r="O94" s="107">
        <v>1134.3868074727202</v>
      </c>
      <c r="P94" s="107">
        <v>1198.8017647318218</v>
      </c>
      <c r="Q94" s="107">
        <v>1182.4872122473032</v>
      </c>
      <c r="R94" t="str">
        <f t="shared" si="8"/>
        <v/>
      </c>
      <c r="AB94" s="169">
        <v>276278.73</v>
      </c>
      <c r="AC94" s="169">
        <v>-196063.4</v>
      </c>
      <c r="AD94" s="170">
        <v>259.005</v>
      </c>
    </row>
    <row r="95" spans="2:30" ht="15.6">
      <c r="B95" s="106">
        <f>B94+1</f>
        <v>33</v>
      </c>
      <c r="C95" s="103" t="s">
        <v>139</v>
      </c>
      <c r="D95" s="103" t="s">
        <v>128</v>
      </c>
      <c r="E95" s="107" cm="1">
        <f t="array" ref="E95">INDEX(N95:Q95,case_number)</f>
        <v>1160</v>
      </c>
      <c r="F95" s="107" t="s">
        <v>86</v>
      </c>
      <c r="G95" s="118"/>
      <c r="I95" s="138"/>
      <c r="K95" s="106">
        <f t="shared" si="1"/>
        <v>32</v>
      </c>
      <c r="L95" s="103" t="s">
        <v>139</v>
      </c>
      <c r="M95" s="103" t="s">
        <v>128</v>
      </c>
      <c r="N95" s="107">
        <v>1160</v>
      </c>
      <c r="O95" s="107">
        <v>1160</v>
      </c>
      <c r="P95" s="107">
        <v>1160</v>
      </c>
      <c r="Q95" s="107">
        <v>1160</v>
      </c>
      <c r="R95" t="str">
        <f t="shared" si="8"/>
        <v>(valid in case L-Flange is calculated)</v>
      </c>
      <c r="AB95" s="169">
        <v>303906.603</v>
      </c>
      <c r="AC95" s="169">
        <v>-196063.4</v>
      </c>
      <c r="AD95" s="170">
        <v>39.174999999999997</v>
      </c>
    </row>
    <row r="96" spans="2:30" ht="15.6">
      <c r="B96" s="106">
        <f>B95+1</f>
        <v>34</v>
      </c>
      <c r="C96" s="103" t="s">
        <v>138</v>
      </c>
      <c r="D96" s="103" t="s">
        <v>128</v>
      </c>
      <c r="E96" s="108" cm="1">
        <f t="array" ref="E96">INDEX(N96:Q96,case_number)</f>
        <v>2320</v>
      </c>
      <c r="F96" s="108" cm="1">
        <f t="array" aca="1" ref="F96" ca="1">INDIRECT(sheet_name&amp;"!Z0")</f>
        <v>2320</v>
      </c>
      <c r="G96" s="118">
        <f ca="1">(F96-E96)/E96</f>
        <v>0</v>
      </c>
      <c r="H96" t="s">
        <v>308</v>
      </c>
      <c r="I96" s="138"/>
      <c r="K96" s="106">
        <f t="shared" si="1"/>
        <v>33</v>
      </c>
      <c r="L96" s="103" t="s">
        <v>138</v>
      </c>
      <c r="M96" s="103" t="s">
        <v>128</v>
      </c>
      <c r="N96" s="107">
        <v>2320</v>
      </c>
      <c r="O96" s="107">
        <v>2320</v>
      </c>
      <c r="P96" s="107">
        <v>2320</v>
      </c>
      <c r="Q96" s="107">
        <v>2320</v>
      </c>
      <c r="R96" t="str">
        <f t="shared" si="8"/>
        <v>(valid in case T-Flange is calculated)</v>
      </c>
      <c r="AB96" s="169">
        <v>331534.47600000002</v>
      </c>
      <c r="AC96" s="169">
        <v>-196063.4</v>
      </c>
      <c r="AD96" s="170">
        <v>13.98</v>
      </c>
    </row>
    <row r="97" spans="2:30" ht="15.6">
      <c r="B97" s="106">
        <f>B96+1</f>
        <v>35</v>
      </c>
      <c r="C97" s="103" t="s">
        <v>138</v>
      </c>
      <c r="D97" s="103" t="s">
        <v>128</v>
      </c>
      <c r="E97" s="110" cm="1">
        <f t="array" ref="E97">INDEX(N97:Q97,case_number)</f>
        <v>2320</v>
      </c>
      <c r="F97" s="110" t="s">
        <v>86</v>
      </c>
      <c r="G97" s="104"/>
      <c r="H97" t="s">
        <v>307</v>
      </c>
      <c r="I97" s="139"/>
      <c r="K97" s="106">
        <f t="shared" si="1"/>
        <v>34</v>
      </c>
      <c r="L97" s="103" t="s">
        <v>138</v>
      </c>
      <c r="M97" s="103" t="s">
        <v>128</v>
      </c>
      <c r="N97" s="108">
        <v>2320</v>
      </c>
      <c r="O97" s="108">
        <v>2320</v>
      </c>
      <c r="P97" s="108">
        <v>2320</v>
      </c>
      <c r="Q97" s="108">
        <v>2320</v>
      </c>
      <c r="R97" t="str">
        <f t="shared" si="8"/>
        <v/>
      </c>
      <c r="AB97" s="169">
        <v>359162.34899999999</v>
      </c>
      <c r="AC97" s="169">
        <v>-196063.4</v>
      </c>
      <c r="AD97" s="170">
        <v>15.55</v>
      </c>
    </row>
    <row r="98" spans="2:30" ht="15.6">
      <c r="B98" s="106">
        <f>B97+1</f>
        <v>36</v>
      </c>
      <c r="C98" s="105" t="s">
        <v>137</v>
      </c>
      <c r="D98" s="103" t="s">
        <v>123</v>
      </c>
      <c r="E98" s="109" cm="1">
        <f t="array" ref="E98">INDEX(N98:Q98,case_number)</f>
        <v>1.0505529099981601</v>
      </c>
      <c r="F98" s="109" cm="1">
        <f t="array" aca="1" ref="F98" ca="1">INDIRECT(sheet_name&amp;"!stiffness_correction_factor")</f>
        <v>1.0505535851722823</v>
      </c>
      <c r="G98" s="118">
        <f ca="1">(F98-E98)/E98</f>
        <v>6.4268454805179571E-7</v>
      </c>
      <c r="I98" s="139"/>
      <c r="K98" s="106">
        <f t="shared" si="1"/>
        <v>35</v>
      </c>
      <c r="L98" s="105" t="s">
        <v>137</v>
      </c>
      <c r="M98" s="103" t="s">
        <v>123</v>
      </c>
      <c r="N98" s="109">
        <v>1.0505529099981601</v>
      </c>
      <c r="O98" s="109">
        <v>1.0279378122052913</v>
      </c>
      <c r="P98" s="109">
        <v>1.019500772726351</v>
      </c>
      <c r="Q98" s="109">
        <v>1.0126083911867565</v>
      </c>
      <c r="R98" t="str">
        <f t="shared" si="8"/>
        <v/>
      </c>
      <c r="AB98" s="169">
        <v>386790.22200000001</v>
      </c>
      <c r="AC98" s="169">
        <v>-196063.4</v>
      </c>
      <c r="AD98" s="170">
        <v>21.77</v>
      </c>
    </row>
    <row r="99" spans="2:30">
      <c r="B99" s="106"/>
      <c r="C99" s="105" t="s">
        <v>272</v>
      </c>
      <c r="D99" s="103" t="s">
        <v>126</v>
      </c>
      <c r="E99" s="107" cm="1">
        <f t="array" ref="E99">INDEX(N99:Q99,case_number)</f>
        <v>116.39600781550183</v>
      </c>
      <c r="F99" s="107" t="s">
        <v>86</v>
      </c>
      <c r="G99" s="118"/>
      <c r="I99" s="138"/>
      <c r="K99" s="106"/>
      <c r="L99" s="105" t="s">
        <v>272</v>
      </c>
      <c r="M99" s="103" t="s">
        <v>126</v>
      </c>
      <c r="N99" s="107">
        <v>116.39600781550183</v>
      </c>
      <c r="O99" s="107">
        <v>116.39600781550183</v>
      </c>
      <c r="P99" s="107">
        <v>116.39600781550183</v>
      </c>
      <c r="Q99" s="107">
        <v>116.39600781550183</v>
      </c>
      <c r="R99" t="str">
        <f t="shared" si="8"/>
        <v/>
      </c>
      <c r="AB99" s="169">
        <v>414418.09499999997</v>
      </c>
      <c r="AC99" s="169">
        <v>-196063.4</v>
      </c>
      <c r="AD99" s="170">
        <v>6.2249999999999996</v>
      </c>
    </row>
    <row r="100" spans="2:30" ht="15.6">
      <c r="B100" s="106">
        <f>B98+1</f>
        <v>37</v>
      </c>
      <c r="C100" s="103" t="s">
        <v>136</v>
      </c>
      <c r="D100" s="103" t="s">
        <v>135</v>
      </c>
      <c r="E100" s="107" cm="1">
        <f t="array" ref="E100">INDEX(N100:Q100,case_number)</f>
        <v>166416.68031071479</v>
      </c>
      <c r="F100" s="107" cm="1">
        <f t="array" aca="1" ref="F100" ca="1">INDIRECT(sheet_name&amp;"!k_seg")</f>
        <v>166414.46129858619</v>
      </c>
      <c r="G100" s="118">
        <f ca="1">(F100-E100)/E100</f>
        <v>-1.3334072789179343E-5</v>
      </c>
      <c r="I100" s="138"/>
      <c r="K100" s="106">
        <f>K98+1</f>
        <v>36</v>
      </c>
      <c r="L100" s="103" t="s">
        <v>136</v>
      </c>
      <c r="M100" s="103" t="s">
        <v>135</v>
      </c>
      <c r="N100" s="107">
        <v>166416.68031071479</v>
      </c>
      <c r="O100" s="107">
        <v>166416.68031071479</v>
      </c>
      <c r="P100" s="107">
        <v>166416.68031071479</v>
      </c>
      <c r="Q100" s="107">
        <v>166416.68031071479</v>
      </c>
      <c r="R100" t="str">
        <f t="shared" si="8"/>
        <v/>
      </c>
      <c r="AB100" s="169">
        <v>469673.84100000001</v>
      </c>
      <c r="AC100" s="169">
        <v>-196063.4</v>
      </c>
      <c r="AD100" s="170">
        <v>3.11</v>
      </c>
    </row>
    <row r="101" spans="2:30" ht="15.6">
      <c r="B101" s="106">
        <f>B100+1</f>
        <v>38</v>
      </c>
      <c r="C101" s="103" t="s">
        <v>134</v>
      </c>
      <c r="D101" s="103" t="s">
        <v>128</v>
      </c>
      <c r="E101" s="111" cm="1">
        <f t="array" ref="E101">INDEX(N101:Q101,case_number)</f>
        <v>0</v>
      </c>
      <c r="F101" s="111" cm="1">
        <f t="array" aca="1" ref="F101" ca="1">ROUND(INDIRECT(sheet_name&amp;"!Z_2_td"),0)</f>
        <v>0</v>
      </c>
      <c r="G101" s="118"/>
      <c r="I101" s="138"/>
      <c r="K101" s="106"/>
      <c r="L101" s="103"/>
      <c r="M101" s="103"/>
      <c r="N101" s="111"/>
      <c r="O101" s="111"/>
      <c r="P101" s="111"/>
      <c r="Q101" s="111"/>
      <c r="AB101" s="169">
        <v>497301.71399999998</v>
      </c>
      <c r="AC101" s="169">
        <v>-196063.4</v>
      </c>
      <c r="AD101" s="170">
        <v>3.11</v>
      </c>
    </row>
    <row r="102" spans="2:30">
      <c r="B102" s="106">
        <f>B101+1</f>
        <v>39</v>
      </c>
      <c r="C102" s="103" t="s">
        <v>1</v>
      </c>
      <c r="D102" s="103" t="s">
        <v>126</v>
      </c>
      <c r="E102" s="109" cm="1">
        <f t="array" ref="E102">INDEX(N102:Q102,case_number)</f>
        <v>0.11977137777930504</v>
      </c>
      <c r="F102" s="109" cm="1">
        <f t="array" aca="1" ref="F102" ca="1">INDIRECT(sheet_name&amp;"!u")</f>
        <v>0.11977297484086973</v>
      </c>
      <c r="G102" s="118">
        <f ca="1">(F102-E102)/E102</f>
        <v>1.3334250588923367E-5</v>
      </c>
      <c r="H102" t="s">
        <v>308</v>
      </c>
      <c r="I102" s="138"/>
      <c r="K102" s="106">
        <f t="shared" si="1"/>
        <v>1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tr">
        <f t="shared" ref="R102:R121" si="10">IF(H103&lt;&gt;"",H103,"")</f>
        <v>(valid in case T-Flange is calculated)</v>
      </c>
      <c r="AB102" s="169">
        <v>0.1330700007</v>
      </c>
      <c r="AC102" s="169">
        <v>-174749.9</v>
      </c>
      <c r="AD102" s="170">
        <v>13519300</v>
      </c>
    </row>
    <row r="103" spans="2:30">
      <c r="B103" s="106">
        <f>B102+1</f>
        <v>40</v>
      </c>
      <c r="C103" s="103" t="s">
        <v>1</v>
      </c>
      <c r="D103" s="103" t="s">
        <v>126</v>
      </c>
      <c r="E103" s="110" cm="1">
        <f t="array" ref="E103">INDEX(N103:Q103,case_number)</f>
        <v>0.11977137777930504</v>
      </c>
      <c r="F103" s="104"/>
      <c r="G103" s="104"/>
      <c r="H103" t="s">
        <v>307</v>
      </c>
      <c r="I103" s="138"/>
      <c r="K103" s="106">
        <f t="shared" si="1"/>
        <v>2</v>
      </c>
      <c r="L103" s="103" t="s">
        <v>1</v>
      </c>
      <c r="M103" s="103" t="s">
        <v>126</v>
      </c>
      <c r="N103" s="109">
        <v>0.11977137777930504</v>
      </c>
      <c r="O103" s="109">
        <v>0.11977137777930504</v>
      </c>
      <c r="P103" s="109">
        <v>0.11977137777930504</v>
      </c>
      <c r="Q103" s="109">
        <v>0.11977137777930504</v>
      </c>
      <c r="R103" t="str">
        <f t="shared" si="10"/>
        <v/>
      </c>
      <c r="AB103" s="169">
        <v>27628.027699999999</v>
      </c>
      <c r="AC103" s="169">
        <v>-174749.9</v>
      </c>
      <c r="AD103" s="170">
        <v>904574</v>
      </c>
    </row>
    <row r="104" spans="2:30" ht="15.6">
      <c r="B104" s="106"/>
      <c r="C104" s="103" t="s">
        <v>133</v>
      </c>
      <c r="D104" s="103" t="s">
        <v>128</v>
      </c>
      <c r="E104" s="110" cm="1">
        <f t="array" ref="E104">INDEX(N104:Q104,case_number)</f>
        <v>21164</v>
      </c>
      <c r="F104" s="110" t="s">
        <v>86</v>
      </c>
      <c r="G104" s="110"/>
      <c r="I104" s="139"/>
      <c r="K104" s="106"/>
      <c r="L104" s="103" t="s">
        <v>133</v>
      </c>
      <c r="M104" s="103" t="s">
        <v>128</v>
      </c>
      <c r="N104" s="110">
        <v>21164</v>
      </c>
      <c r="O104" s="110">
        <v>21164</v>
      </c>
      <c r="P104" s="110">
        <v>21164</v>
      </c>
      <c r="Q104" s="110">
        <v>21164</v>
      </c>
      <c r="R104" t="str">
        <f t="shared" si="10"/>
        <v/>
      </c>
      <c r="AB104" s="169">
        <v>55255.900699999998</v>
      </c>
      <c r="AC104" s="169">
        <v>-174749.9</v>
      </c>
      <c r="AD104" s="170">
        <v>564052</v>
      </c>
    </row>
    <row r="105" spans="2:30" ht="15.6">
      <c r="B105" s="106">
        <f>B103+1</f>
        <v>41</v>
      </c>
      <c r="C105" s="105" t="s">
        <v>132</v>
      </c>
      <c r="D105" s="103" t="s">
        <v>128</v>
      </c>
      <c r="E105" s="107" cm="1">
        <f t="array" ref="E105">INDEX(N105:Q105,case_number)</f>
        <v>-105.82</v>
      </c>
      <c r="F105" s="107" cm="1">
        <f t="array" aca="1" ref="F105" ca="1">INDIRECT(sheet_name&amp;"!Z_dw")</f>
        <v>-105.82</v>
      </c>
      <c r="G105" s="118">
        <f ca="1">(F105-E105)/E105</f>
        <v>0</v>
      </c>
      <c r="K105" s="106">
        <f>K103+1</f>
        <v>3</v>
      </c>
      <c r="L105" s="105" t="s">
        <v>132</v>
      </c>
      <c r="M105" s="103" t="s">
        <v>128</v>
      </c>
      <c r="N105" s="107">
        <v>-105.82</v>
      </c>
      <c r="O105" s="107">
        <v>-105.82</v>
      </c>
      <c r="P105" s="107">
        <v>-105.82</v>
      </c>
      <c r="Q105" s="107">
        <v>-105.82</v>
      </c>
      <c r="R105" t="str">
        <f t="shared" si="10"/>
        <v/>
      </c>
      <c r="AB105" s="169">
        <v>82883.619000000006</v>
      </c>
      <c r="AC105" s="169">
        <v>-174749.9</v>
      </c>
      <c r="AD105" s="170">
        <v>279180</v>
      </c>
    </row>
    <row r="106" spans="2:30">
      <c r="B106" s="106">
        <f t="shared" ref="B106:B113" si="11">B105+1</f>
        <v>42</v>
      </c>
      <c r="D106" s="103"/>
      <c r="E106" s="110"/>
      <c r="F106" s="104"/>
      <c r="G106" s="104"/>
      <c r="I106" s="103"/>
      <c r="K106" s="106">
        <f t="shared" ref="K106:K118" si="12">K105+1</f>
        <v>4</v>
      </c>
      <c r="M106" s="103"/>
      <c r="N106" s="104"/>
      <c r="O106" s="104"/>
      <c r="P106" s="104"/>
      <c r="Q106" s="104"/>
      <c r="R106" t="str">
        <f t="shared" si="10"/>
        <v/>
      </c>
      <c r="AB106" s="169">
        <v>110511.492</v>
      </c>
      <c r="AC106" s="169">
        <v>-174749.9</v>
      </c>
      <c r="AD106" s="170">
        <v>145806</v>
      </c>
    </row>
    <row r="107" spans="2:30" ht="15.6">
      <c r="B107" s="106">
        <f t="shared" si="11"/>
        <v>43</v>
      </c>
      <c r="C107" s="103" t="s">
        <v>131</v>
      </c>
      <c r="D107" s="103" t="s">
        <v>128</v>
      </c>
      <c r="E107" s="107" cm="1">
        <f t="array" ref="E107">INDEX(N107:Q107,case_number)</f>
        <v>-1212.3851914868608</v>
      </c>
      <c r="F107" s="107" cm="1">
        <f t="array" aca="1" ref="F107" ca="1">INDIRECT(sheet_name&amp;"!point4.Z")</f>
        <v>-1212.3157920349049</v>
      </c>
      <c r="G107" s="118">
        <f ca="1">(F107-E107)/E107</f>
        <v>-5.7242081512682494E-5</v>
      </c>
      <c r="I107" s="105"/>
      <c r="K107" s="106">
        <f t="shared" si="12"/>
        <v>5</v>
      </c>
      <c r="L107" s="103" t="s">
        <v>131</v>
      </c>
      <c r="M107" s="103" t="s">
        <v>128</v>
      </c>
      <c r="N107" s="107">
        <v>-1212.3851914868608</v>
      </c>
      <c r="O107" s="107">
        <v>-1240.2068074727201</v>
      </c>
      <c r="P107" s="107">
        <v>-1304.6217647318217</v>
      </c>
      <c r="Q107" s="107">
        <v>-1288.3072122473031</v>
      </c>
      <c r="R107" t="str">
        <f t="shared" si="10"/>
        <v>polynomial_initial_slope</v>
      </c>
      <c r="AB107" s="169">
        <v>138139.36499999999</v>
      </c>
      <c r="AC107" s="169">
        <v>-174749.9</v>
      </c>
      <c r="AD107" s="170">
        <v>70057</v>
      </c>
    </row>
    <row r="108" spans="2:30" ht="15.6">
      <c r="B108" s="106">
        <f t="shared" si="11"/>
        <v>44</v>
      </c>
      <c r="C108" s="105" t="s">
        <v>130</v>
      </c>
      <c r="D108" s="103" t="s">
        <v>123</v>
      </c>
      <c r="E108" s="113" cm="1">
        <f t="array" ref="E108">INDEX(N108:Q108,case_number)</f>
        <v>4.9558710434214934E-2</v>
      </c>
      <c r="F108" s="113" cm="1">
        <f t="array" aca="1" ref="F108" ca="1">INDIRECT(sheet_name&amp;"!true_force_initial_slope")</f>
        <v>4.9546977092346678E-2</v>
      </c>
      <c r="G108" s="118">
        <f ca="1">(F108-E108)/E108</f>
        <v>-2.3675639994367577E-4</v>
      </c>
      <c r="H108" t="s">
        <v>360</v>
      </c>
      <c r="I108" s="103"/>
      <c r="K108" s="106">
        <f t="shared" si="12"/>
        <v>6</v>
      </c>
      <c r="L108" s="105" t="s">
        <v>130</v>
      </c>
      <c r="M108" s="103" t="s">
        <v>123</v>
      </c>
      <c r="N108" s="109">
        <v>4.9558710434214934E-2</v>
      </c>
      <c r="O108" s="109">
        <v>4.9483687271279532E-2</v>
      </c>
      <c r="P108" s="109">
        <v>5.0608875985747696E-2</v>
      </c>
      <c r="Q108" s="109">
        <v>4.9961183062808341E-2</v>
      </c>
      <c r="R108" t="str">
        <f t="shared" si="10"/>
        <v/>
      </c>
      <c r="AB108" s="169">
        <v>165767.23800000001</v>
      </c>
      <c r="AC108" s="169">
        <v>-174749.9</v>
      </c>
      <c r="AD108" s="170">
        <v>39169.800000000003</v>
      </c>
    </row>
    <row r="109" spans="2:30" ht="15.6">
      <c r="B109" s="106">
        <f t="shared" si="11"/>
        <v>45</v>
      </c>
      <c r="C109" s="103" t="s">
        <v>129</v>
      </c>
      <c r="D109" s="103" t="s">
        <v>128</v>
      </c>
      <c r="E109" s="108" cm="1">
        <f t="array" ref="E109">INDEX(N109:Q109,case_number)</f>
        <v>900.58002804926059</v>
      </c>
      <c r="F109" s="108" cm="1">
        <f t="array" aca="1" ref="F109" ca="1">INDIRECT(sheet_name&amp;"!point4.Fs")</f>
        <v>900.58823916963433</v>
      </c>
      <c r="G109" s="118">
        <f ca="1">(F109-E109)/E109</f>
        <v>9.1175910169028467E-6</v>
      </c>
      <c r="I109" s="105"/>
      <c r="K109" s="106">
        <f t="shared" si="12"/>
        <v>7</v>
      </c>
      <c r="L109" s="103" t="s">
        <v>129</v>
      </c>
      <c r="M109" s="103" t="s">
        <v>128</v>
      </c>
      <c r="N109" s="108">
        <v>900.58002804926059</v>
      </c>
      <c r="O109" s="108">
        <v>899.93317898717737</v>
      </c>
      <c r="P109" s="108">
        <v>897.66499507859589</v>
      </c>
      <c r="Q109" s="108">
        <v>898.46076995974136</v>
      </c>
      <c r="R109" t="str">
        <f t="shared" si="10"/>
        <v>(valid in case L-Flange is calculated)</v>
      </c>
      <c r="AB109" s="169">
        <v>193395.111</v>
      </c>
      <c r="AC109" s="169">
        <v>-174749.9</v>
      </c>
      <c r="AD109" s="170">
        <v>16842.400000000001</v>
      </c>
    </row>
    <row r="110" spans="2:30" ht="15.6">
      <c r="B110" s="106">
        <f t="shared" si="11"/>
        <v>46</v>
      </c>
      <c r="C110" s="105" t="s">
        <v>127</v>
      </c>
      <c r="D110" s="103" t="s">
        <v>123</v>
      </c>
      <c r="E110" s="110" cm="1">
        <f t="array" ref="E110">INDEX(N110:Q110,case_number)</f>
        <v>6.9091660137339861E-2</v>
      </c>
      <c r="F110" s="104"/>
      <c r="G110" s="104"/>
      <c r="H110" t="s">
        <v>308</v>
      </c>
      <c r="I110" s="105"/>
      <c r="K110" s="106">
        <f t="shared" si="12"/>
        <v>8</v>
      </c>
      <c r="L110" s="105" t="s">
        <v>127</v>
      </c>
      <c r="M110" s="103" t="s">
        <v>123</v>
      </c>
      <c r="N110" s="113">
        <v>6.9091660137339861E-2</v>
      </c>
      <c r="O110" s="113">
        <v>7.0828784755893701E-2</v>
      </c>
      <c r="P110" s="113">
        <v>7.4850722522368227E-2</v>
      </c>
      <c r="Q110" s="113">
        <v>7.383207533897132E-2</v>
      </c>
      <c r="R110" t="str">
        <f t="shared" si="10"/>
        <v>(valid in case T-Flange is calculated)</v>
      </c>
      <c r="AB110" s="169">
        <v>221022.984</v>
      </c>
      <c r="AC110" s="169">
        <v>-174749.9</v>
      </c>
      <c r="AD110" s="170">
        <v>6154.11</v>
      </c>
    </row>
    <row r="111" spans="2:30" ht="15.6">
      <c r="B111" s="106">
        <f t="shared" si="11"/>
        <v>47</v>
      </c>
      <c r="C111" s="105" t="s">
        <v>127</v>
      </c>
      <c r="D111" s="103" t="s">
        <v>123</v>
      </c>
      <c r="E111" s="110" cm="1">
        <f t="array" ref="E111">INDEX(N111:Q111,case_number)</f>
        <v>6.9091660137339861E-2</v>
      </c>
      <c r="F111" s="104" cm="1">
        <f t="array" aca="1" ref="F111" ca="1">INDIRECT(sheet_name&amp;"!polynomial_initial_slope")</f>
        <v>6.9086512516143506E-2</v>
      </c>
      <c r="G111" s="118">
        <f ca="1">(F111-E111)/E111</f>
        <v>-7.4504233739974631E-5</v>
      </c>
      <c r="H111" t="s">
        <v>307</v>
      </c>
      <c r="I111" s="105"/>
      <c r="K111" s="106">
        <f t="shared" si="12"/>
        <v>9</v>
      </c>
      <c r="L111" s="105" t="s">
        <v>127</v>
      </c>
      <c r="M111" s="103" t="s">
        <v>123</v>
      </c>
      <c r="N111" s="113">
        <v>6.9091660137339861E-2</v>
      </c>
      <c r="O111" s="113">
        <v>7.0828784755893701E-2</v>
      </c>
      <c r="P111" s="113">
        <v>7.4850722522368227E-2</v>
      </c>
      <c r="Q111" s="113">
        <v>7.383207533897132E-2</v>
      </c>
      <c r="R111" t="str">
        <f t="shared" si="10"/>
        <v>Bending moment L-Flange as a function of external force Z</v>
      </c>
      <c r="AB111" s="169">
        <v>248650.85699999999</v>
      </c>
      <c r="AC111" s="169">
        <v>-174749.9</v>
      </c>
      <c r="AD111" s="170">
        <v>1571.42</v>
      </c>
    </row>
    <row r="112" spans="2:30" ht="15.6">
      <c r="B112" s="106">
        <f t="shared" si="11"/>
        <v>48</v>
      </c>
      <c r="C112" s="105" t="s">
        <v>125</v>
      </c>
      <c r="D112" s="103" t="s">
        <v>121</v>
      </c>
      <c r="E112" s="128"/>
      <c r="F112" s="128"/>
      <c r="G112" s="128"/>
      <c r="H112" t="s">
        <v>271</v>
      </c>
      <c r="I112" s="105"/>
      <c r="K112" s="106">
        <f t="shared" si="12"/>
        <v>10</v>
      </c>
      <c r="L112" s="105" t="s">
        <v>125</v>
      </c>
      <c r="M112" s="103" t="s">
        <v>121</v>
      </c>
      <c r="N112" s="128"/>
      <c r="O112" s="128"/>
      <c r="P112" s="128"/>
      <c r="Q112" s="128"/>
      <c r="R112" t="str">
        <f t="shared" si="10"/>
        <v/>
      </c>
      <c r="AB112" s="169">
        <v>276278.73</v>
      </c>
      <c r="AC112" s="169">
        <v>-174749.9</v>
      </c>
      <c r="AD112" s="170">
        <v>869.21500000000003</v>
      </c>
    </row>
    <row r="113" spans="2:30">
      <c r="B113" s="106">
        <f t="shared" si="11"/>
        <v>49</v>
      </c>
      <c r="C113" s="105" t="s">
        <v>2</v>
      </c>
      <c r="D113" s="103" t="s">
        <v>126</v>
      </c>
      <c r="E113" s="107" cm="1">
        <f t="array" ref="E113">INDEX(N113:Q113,case_number)</f>
        <v>29.898097318306775</v>
      </c>
      <c r="F113" s="107" cm="1">
        <f t="array" aca="1" ref="F113" ca="1">INDIRECT(sheet_name&amp;"!a_star")</f>
        <v>29.898097318306771</v>
      </c>
      <c r="G113" s="118">
        <f ca="1">(F113-E113)/E113</f>
        <v>-1.1882741704185818E-16</v>
      </c>
      <c r="I113" s="105"/>
      <c r="K113" s="106">
        <f t="shared" si="12"/>
        <v>11</v>
      </c>
      <c r="L113" s="105" t="s">
        <v>2</v>
      </c>
      <c r="M113" s="103" t="s">
        <v>126</v>
      </c>
      <c r="N113" s="107">
        <v>29.898097318306775</v>
      </c>
      <c r="O113" s="107">
        <v>29.898097318306775</v>
      </c>
      <c r="P113" s="107">
        <v>29.898097318306775</v>
      </c>
      <c r="Q113" s="107">
        <v>29.898097318306775</v>
      </c>
      <c r="R113" t="str">
        <f t="shared" si="10"/>
        <v>Bending resilience of bolt assembly</v>
      </c>
      <c r="AB113" s="169">
        <v>303906.603</v>
      </c>
      <c r="AC113" s="169">
        <v>-174749.9</v>
      </c>
      <c r="AD113" s="170">
        <v>109.21</v>
      </c>
    </row>
    <row r="114" spans="2:30" ht="15.6">
      <c r="B114" s="106"/>
      <c r="C114" s="105" t="s">
        <v>269</v>
      </c>
      <c r="D114" s="103" t="s">
        <v>268</v>
      </c>
      <c r="E114" s="114" cm="1">
        <f t="array" ref="E114">INDEX(N114:Q114,case_number)</f>
        <v>8.6870984986007647E-9</v>
      </c>
      <c r="F114" s="114" cm="1">
        <f t="array" aca="1" ref="F114" ca="1">1/(INDIRECT(sheet_name&amp;"!bolt.bending_stiffness")*1000000)</f>
        <v>8.6873267314791757E-9</v>
      </c>
      <c r="G114" s="118">
        <f ca="1">(F114-E114)/E114</f>
        <v>2.6272624679890713E-5</v>
      </c>
      <c r="H114" t="s">
        <v>270</v>
      </c>
      <c r="I114" s="105"/>
      <c r="K114" s="106"/>
      <c r="L114" s="105" t="s">
        <v>269</v>
      </c>
      <c r="M114" s="103" t="s">
        <v>268</v>
      </c>
      <c r="N114" s="114">
        <v>8.6870984986007647E-9</v>
      </c>
      <c r="O114" s="114">
        <v>8.6870984986007647E-9</v>
      </c>
      <c r="P114" s="114">
        <v>8.6870984986007647E-9</v>
      </c>
      <c r="Q114" s="114">
        <v>8.6870984986007647E-9</v>
      </c>
      <c r="R114" t="str">
        <f t="shared" si="10"/>
        <v>Bending moment for T-Flange as a function of external force Z</v>
      </c>
      <c r="AB114" s="169">
        <v>331534.47600000002</v>
      </c>
      <c r="AC114" s="169">
        <v>-174749.9</v>
      </c>
      <c r="AD114" s="170">
        <v>118.9</v>
      </c>
    </row>
    <row r="115" spans="2:30" ht="15.6">
      <c r="B115" s="106">
        <f>B113+1</f>
        <v>50</v>
      </c>
      <c r="C115" s="105" t="s">
        <v>125</v>
      </c>
      <c r="D115" s="103" t="s">
        <v>121</v>
      </c>
      <c r="E115" s="128"/>
      <c r="F115" s="128"/>
      <c r="G115" s="128"/>
      <c r="H115" t="s">
        <v>267</v>
      </c>
      <c r="I115" s="105"/>
      <c r="K115" s="106">
        <f>K113+1</f>
        <v>12</v>
      </c>
      <c r="L115" s="105" t="s">
        <v>125</v>
      </c>
      <c r="M115" s="103" t="s">
        <v>121</v>
      </c>
      <c r="N115" s="128"/>
      <c r="O115" s="128"/>
      <c r="P115" s="128"/>
      <c r="Q115" s="128"/>
      <c r="R115" t="str">
        <f t="shared" si="10"/>
        <v>Intermediate values as function of Z</v>
      </c>
      <c r="AB115" s="169">
        <v>359162.34899999999</v>
      </c>
      <c r="AC115" s="169">
        <v>-174749.9</v>
      </c>
      <c r="AD115" s="170">
        <v>36.094999999999999</v>
      </c>
    </row>
    <row r="116" spans="2:30" ht="15.6">
      <c r="B116" s="106">
        <f>B115+1</f>
        <v>51</v>
      </c>
      <c r="C116" s="105" t="s">
        <v>266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f t="shared" si="12"/>
        <v>13</v>
      </c>
      <c r="L116" s="105" t="s">
        <v>266</v>
      </c>
      <c r="M116" s="103" t="s">
        <v>123</v>
      </c>
      <c r="N116" s="128"/>
      <c r="O116" s="128"/>
      <c r="P116" s="128"/>
      <c r="Q116" s="128"/>
      <c r="R116" t="str">
        <f t="shared" si="10"/>
        <v>Intermediate values as function of Z</v>
      </c>
      <c r="AB116" s="169">
        <v>386790.22200000001</v>
      </c>
      <c r="AC116" s="169">
        <v>-174749.9</v>
      </c>
      <c r="AD116" s="170">
        <v>23.25</v>
      </c>
    </row>
    <row r="117" spans="2:30" ht="15.6">
      <c r="B117" s="106">
        <f>B116+1</f>
        <v>52</v>
      </c>
      <c r="C117" s="105" t="s">
        <v>264</v>
      </c>
      <c r="D117" s="103" t="s">
        <v>123</v>
      </c>
      <c r="E117" s="128"/>
      <c r="F117" s="128"/>
      <c r="G117" s="128"/>
      <c r="H117" t="s">
        <v>265</v>
      </c>
      <c r="I117" s="105"/>
      <c r="K117" s="106">
        <f t="shared" si="12"/>
        <v>14</v>
      </c>
      <c r="L117" s="105" t="s">
        <v>264</v>
      </c>
      <c r="M117" s="103" t="s">
        <v>123</v>
      </c>
      <c r="N117" s="128"/>
      <c r="O117" s="128"/>
      <c r="P117" s="128"/>
      <c r="Q117" s="128"/>
      <c r="R117" t="str">
        <f t="shared" si="10"/>
        <v>(valid in case L-Flange is calculated)</v>
      </c>
      <c r="AB117" s="169">
        <v>414418.09499999997</v>
      </c>
      <c r="AC117" s="169">
        <v>-174749.9</v>
      </c>
      <c r="AD117" s="170">
        <v>25.65</v>
      </c>
    </row>
    <row r="118" spans="2:30" ht="15.6">
      <c r="B118" s="106">
        <f>B117+1</f>
        <v>53</v>
      </c>
      <c r="C118" s="105" t="s">
        <v>124</v>
      </c>
      <c r="D118" s="103" t="s">
        <v>123</v>
      </c>
      <c r="E118" s="152" cm="1">
        <f t="array" ref="E118">INDEX(N118:Q118,case_number)</f>
        <v>0.42488662205843325</v>
      </c>
      <c r="F118" s="113" t="s">
        <v>86</v>
      </c>
      <c r="G118" s="118" t="s">
        <v>86</v>
      </c>
      <c r="H118" t="s">
        <v>308</v>
      </c>
      <c r="K118" s="106">
        <f t="shared" si="12"/>
        <v>15</v>
      </c>
      <c r="L118" s="105" t="s">
        <v>124</v>
      </c>
      <c r="M118" s="103" t="s">
        <v>123</v>
      </c>
      <c r="N118" s="109">
        <v>0.42488662205843325</v>
      </c>
      <c r="O118" s="109">
        <v>0.43423432032819759</v>
      </c>
      <c r="P118" s="109">
        <v>0.43782789495007179</v>
      </c>
      <c r="Q118" s="109">
        <v>0.44080799755138517</v>
      </c>
      <c r="R118" t="str">
        <f t="shared" si="10"/>
        <v>(valid in case T-Flange is calculated)</v>
      </c>
      <c r="AB118" s="169">
        <v>469673.84100000001</v>
      </c>
      <c r="AC118" s="169">
        <v>-174749.9</v>
      </c>
      <c r="AD118" s="170">
        <v>3.11</v>
      </c>
    </row>
    <row r="119" spans="2:30" ht="15.6">
      <c r="C119" s="105" t="s">
        <v>124</v>
      </c>
      <c r="D119" s="103" t="s">
        <v>123</v>
      </c>
      <c r="E119" s="152" cm="1">
        <f t="array" ref="E119">INDEX(N119:Q119,case_number)</f>
        <v>0.14424740057386851</v>
      </c>
      <c r="F119" s="109" cm="1">
        <f t="array" aca="1" ref="F119" ca="1">INDIRECT(sheet_name&amp;"!true_moment_initial_slope")</f>
        <v>0.14913146625838938</v>
      </c>
      <c r="G119" s="118">
        <f ca="1">(F119-E119)/E119</f>
        <v>3.3858951115169435E-2</v>
      </c>
      <c r="H119" t="s">
        <v>307</v>
      </c>
      <c r="I119" s="105"/>
      <c r="L119" s="105" t="s">
        <v>124</v>
      </c>
      <c r="M119" s="103" t="s">
        <v>123</v>
      </c>
      <c r="N119" s="114">
        <v>0.14424740057386851</v>
      </c>
      <c r="O119" s="114">
        <v>0.1476812673721723</v>
      </c>
      <c r="P119" s="114">
        <v>0.15378006575471823</v>
      </c>
      <c r="Q119" s="114">
        <v>0.15261771875967314</v>
      </c>
      <c r="R119" t="str">
        <f t="shared" si="10"/>
        <v>(valid in case L-Flange is calculated)</v>
      </c>
      <c r="AB119" s="169">
        <v>0.1330700007</v>
      </c>
      <c r="AC119" s="169">
        <v>-153435.1</v>
      </c>
      <c r="AD119" s="170">
        <v>18138600</v>
      </c>
    </row>
    <row r="120" spans="2:30" ht="15.6">
      <c r="B120" s="106">
        <f>B118+1</f>
        <v>54</v>
      </c>
      <c r="C120" s="105" t="s">
        <v>122</v>
      </c>
      <c r="D120" s="103" t="s">
        <v>121</v>
      </c>
      <c r="E120" s="153" cm="1">
        <f t="array" ref="E120">INDEX(N120:Q120,case_number)</f>
        <v>-280.04387549536239</v>
      </c>
      <c r="F120" s="108" t="s">
        <v>86</v>
      </c>
      <c r="G120" s="118" t="s">
        <v>86</v>
      </c>
      <c r="H120" t="s">
        <v>308</v>
      </c>
      <c r="K120" s="106">
        <f>K118+1</f>
        <v>16</v>
      </c>
      <c r="L120" s="105" t="s">
        <v>122</v>
      </c>
      <c r="M120" s="103" t="s">
        <v>121</v>
      </c>
      <c r="N120" s="108">
        <v>-280.04387549536239</v>
      </c>
      <c r="O120" s="108">
        <v>-292.24551794323224</v>
      </c>
      <c r="P120" s="108">
        <v>-308.76537440109263</v>
      </c>
      <c r="Q120" s="108">
        <v>-307.27121238130644</v>
      </c>
      <c r="R120" t="str">
        <f t="shared" si="10"/>
        <v>(valid in case T-Flange is calculated)</v>
      </c>
      <c r="AB120" s="169">
        <v>27628.027699999999</v>
      </c>
      <c r="AC120" s="169">
        <v>-153435.1</v>
      </c>
      <c r="AD120" s="170">
        <v>1574830</v>
      </c>
    </row>
    <row r="121" spans="2:30" ht="15.6">
      <c r="C121" s="105" t="s">
        <v>122</v>
      </c>
      <c r="D121" s="103" t="s">
        <v>121</v>
      </c>
      <c r="E121" s="153" cm="1">
        <f t="array" ref="E121">INDEX(N121:Q121,case_number)</f>
        <v>-94.125810456016296</v>
      </c>
      <c r="F121" s="109" cm="1">
        <f t="array" aca="1" ref="F121" ca="1">INDIRECT(sheet_name&amp;"!point4.Ms")</f>
        <v>-96.821808855382997</v>
      </c>
      <c r="G121" s="118">
        <f ca="1">(F121-E121)/E121</f>
        <v>2.864249865478188E-2</v>
      </c>
      <c r="H121" t="s">
        <v>307</v>
      </c>
      <c r="L121" s="105" t="s">
        <v>122</v>
      </c>
      <c r="M121" s="103" t="s">
        <v>121</v>
      </c>
      <c r="N121" s="108">
        <v>-94.125810456016296</v>
      </c>
      <c r="O121" s="108">
        <v>-98.467591675380731</v>
      </c>
      <c r="P121" s="108">
        <v>-107.49521805597851</v>
      </c>
      <c r="Q121" s="108">
        <v>-105.4600488406647</v>
      </c>
      <c r="R121" t="str">
        <f t="shared" si="10"/>
        <v>Value at DZdw</v>
      </c>
      <c r="AB121" s="169">
        <v>55255.900699999998</v>
      </c>
      <c r="AC121" s="169">
        <v>-153435.1</v>
      </c>
      <c r="AD121" s="170">
        <v>915602</v>
      </c>
    </row>
    <row r="122" spans="2:30" ht="15.6">
      <c r="C122" s="105" t="s">
        <v>337</v>
      </c>
      <c r="D122" s="103" t="s">
        <v>128</v>
      </c>
      <c r="E122" s="153" cm="1">
        <f t="array" ref="E122">INDEX(N122:Q122,case_number)</f>
        <v>-105.72</v>
      </c>
      <c r="F122" s="109" cm="1">
        <f t="array" aca="1" ref="F122" ca="1">INDIRECT(sheet_name&amp;"!DZdwDZ")</f>
        <v>-105.72</v>
      </c>
      <c r="G122" s="118">
        <f t="shared" ref="G122:G128" ca="1" si="13">(F122-E122)/E122</f>
        <v>0</v>
      </c>
      <c r="H122" s="150" t="s">
        <v>332</v>
      </c>
      <c r="L122" s="105" t="s">
        <v>337</v>
      </c>
      <c r="M122" s="103" t="s">
        <v>128</v>
      </c>
      <c r="N122" s="109">
        <v>-105.72</v>
      </c>
      <c r="O122" s="109">
        <v>-105.72</v>
      </c>
      <c r="P122" s="109">
        <v>-105.72</v>
      </c>
      <c r="Q122" s="109">
        <v>-105.72</v>
      </c>
      <c r="AB122" s="169">
        <v>82883.619000000006</v>
      </c>
      <c r="AC122" s="169">
        <v>-153435.1</v>
      </c>
      <c r="AD122" s="170">
        <v>428559</v>
      </c>
    </row>
    <row r="123" spans="2:30" ht="16.2">
      <c r="C123" s="151" t="s">
        <v>338</v>
      </c>
      <c r="D123" s="103" t="s">
        <v>121</v>
      </c>
      <c r="E123" s="153" cm="1">
        <f t="array" ref="E123">INDEX(N123:Q123,case_number)</f>
        <v>0</v>
      </c>
      <c r="F123" s="109" cm="1">
        <f t="array" aca="1" ref="F123" ca="1">INDIRECT(sheet_name&amp;"!MZTlow1")</f>
        <v>0</v>
      </c>
      <c r="G123" s="118"/>
      <c r="H123" s="150" t="s">
        <v>332</v>
      </c>
      <c r="L123" s="151" t="s">
        <v>338</v>
      </c>
      <c r="M123" s="103" t="s">
        <v>121</v>
      </c>
      <c r="N123" s="113">
        <v>0</v>
      </c>
      <c r="O123" s="113">
        <v>0</v>
      </c>
      <c r="P123" s="113">
        <v>0</v>
      </c>
      <c r="Q123" s="113">
        <v>0</v>
      </c>
      <c r="R123" s="150" t="s">
        <v>332</v>
      </c>
      <c r="AB123" s="169">
        <v>110511.492</v>
      </c>
      <c r="AC123" s="169">
        <v>-153435.1</v>
      </c>
      <c r="AD123" s="170">
        <v>194489</v>
      </c>
    </row>
    <row r="124" spans="2:30" ht="16.2">
      <c r="C124" s="151" t="s">
        <v>339</v>
      </c>
      <c r="D124" s="103" t="s">
        <v>121</v>
      </c>
      <c r="E124" s="153" cm="1">
        <f t="array" ref="E124">INDEX(N124:Q124,case_number)</f>
        <v>-45.700383679716374</v>
      </c>
      <c r="F124" s="109" cm="1">
        <f t="array" aca="1" ref="F124" ca="1">INDIRECT(sheet_name&amp;"!MZThigh1")</f>
        <v>-45.698855457904237</v>
      </c>
      <c r="G124" s="118">
        <f t="shared" ca="1" si="13"/>
        <v>-3.3440021485319849E-5</v>
      </c>
      <c r="H124" s="150" t="s">
        <v>332</v>
      </c>
      <c r="L124" s="151" t="s">
        <v>339</v>
      </c>
      <c r="M124" s="103" t="s">
        <v>121</v>
      </c>
      <c r="N124" s="109">
        <v>-45.700383679716374</v>
      </c>
      <c r="O124" s="109">
        <v>-46.146864492188953</v>
      </c>
      <c r="P124" s="109">
        <v>-46.318506972558922</v>
      </c>
      <c r="Q124" s="109">
        <v>-46.460847749107309</v>
      </c>
      <c r="R124" s="150" t="s">
        <v>332</v>
      </c>
      <c r="AB124" s="169">
        <v>138139.36499999999</v>
      </c>
      <c r="AC124" s="169">
        <v>-153435.1</v>
      </c>
      <c r="AD124" s="170">
        <v>84338.3</v>
      </c>
    </row>
    <row r="125" spans="2:30" ht="16.2">
      <c r="C125" s="151" t="s">
        <v>340</v>
      </c>
      <c r="D125" s="103" t="s">
        <v>121</v>
      </c>
      <c r="E125" s="153" cm="1">
        <f t="array" ref="E125">INDEX(N125:Q125,case_number)</f>
        <v>-14.316234237263945</v>
      </c>
      <c r="F125" s="109" cm="1">
        <f t="array" aca="1" ref="F125" ca="1">INDIRECT(sheet_name&amp;"!MZT1_")</f>
        <v>-14.315138917931357</v>
      </c>
      <c r="G125" s="118">
        <f t="shared" ca="1" si="13"/>
        <v>-7.65088999268533E-5</v>
      </c>
      <c r="H125" s="150" t="s">
        <v>333</v>
      </c>
      <c r="L125" s="151" t="s">
        <v>340</v>
      </c>
      <c r="M125" s="103" t="s">
        <v>121</v>
      </c>
      <c r="N125" s="113">
        <v>-14.316234237263945</v>
      </c>
      <c r="O125" s="113">
        <v>-14.70375096645887</v>
      </c>
      <c r="P125" s="113">
        <v>-15.319310952312602</v>
      </c>
      <c r="Q125" s="113">
        <v>-15.225798442830289</v>
      </c>
      <c r="R125" s="150" t="s">
        <v>332</v>
      </c>
      <c r="AB125" s="169">
        <v>165767.23800000001</v>
      </c>
      <c r="AC125" s="169">
        <v>-153435.1</v>
      </c>
      <c r="AD125" s="170">
        <v>45762.9</v>
      </c>
    </row>
    <row r="126" spans="2:30" ht="16.2">
      <c r="C126" s="151" t="s">
        <v>338</v>
      </c>
      <c r="D126" s="103" t="s">
        <v>121</v>
      </c>
      <c r="E126" s="153" cm="1">
        <f t="array" ref="E126">INDEX(N126:Q126,case_number)</f>
        <v>3.1868192538447083E-3</v>
      </c>
      <c r="F126" s="109" cm="1">
        <f t="array" aca="1" ref="F126" ca="1">INDIRECT(sheet_name&amp;"!MZTlow2")</f>
        <v>3.1865181524615687E-3</v>
      </c>
      <c r="G126" s="118">
        <f t="shared" ca="1" si="13"/>
        <v>-9.4483357591218921E-5</v>
      </c>
      <c r="H126" s="150" t="s">
        <v>333</v>
      </c>
      <c r="L126" s="151" t="s">
        <v>338</v>
      </c>
      <c r="M126" s="103" t="s">
        <v>121</v>
      </c>
      <c r="N126" s="113">
        <v>3.1868192538447083E-3</v>
      </c>
      <c r="O126" s="113">
        <v>3.1819949705243372E-3</v>
      </c>
      <c r="P126" s="113">
        <v>3.2543490133970978E-3</v>
      </c>
      <c r="Q126" s="113">
        <v>3.2126998207664304E-3</v>
      </c>
      <c r="R126" s="150" t="s">
        <v>333</v>
      </c>
      <c r="AB126" s="169">
        <v>193395.111</v>
      </c>
      <c r="AC126" s="169">
        <v>-153435.1</v>
      </c>
      <c r="AD126" s="170">
        <v>23205.599999999999</v>
      </c>
    </row>
    <row r="127" spans="2:30" ht="16.2">
      <c r="C127" s="151" t="s">
        <v>339</v>
      </c>
      <c r="D127" s="103" t="s">
        <v>121</v>
      </c>
      <c r="E127" s="153" cm="1">
        <f t="array" ref="E127">INDEX(N127:Q127,case_number)</f>
        <v>-45.657196773952144</v>
      </c>
      <c r="F127" s="109" cm="1">
        <f t="array" aca="1" ref="F127" ca="1">INDIRECT(sheet_name&amp;"!MZThigh2")</f>
        <v>-45.655669996311055</v>
      </c>
      <c r="G127" s="118">
        <f t="shared" ca="1" si="13"/>
        <v>-3.3440021485517031E-5</v>
      </c>
      <c r="H127" s="150" t="s">
        <v>333</v>
      </c>
      <c r="L127" s="151" t="s">
        <v>339</v>
      </c>
      <c r="M127" s="103" t="s">
        <v>121</v>
      </c>
      <c r="N127" s="109">
        <v>-45.657196773952144</v>
      </c>
      <c r="O127" s="109">
        <v>-46.103255661635004</v>
      </c>
      <c r="P127" s="109">
        <v>-46.274735939698822</v>
      </c>
      <c r="Q127" s="109">
        <v>-46.41694220407885</v>
      </c>
      <c r="R127" s="150" t="s">
        <v>333</v>
      </c>
      <c r="AB127" s="169">
        <v>221022.984</v>
      </c>
      <c r="AC127" s="169">
        <v>-153435.1</v>
      </c>
      <c r="AD127" s="170">
        <v>10558.8</v>
      </c>
    </row>
    <row r="128" spans="2:30" ht="16.2">
      <c r="C128" s="151" t="s">
        <v>340</v>
      </c>
      <c r="D128" s="103" t="s">
        <v>121</v>
      </c>
      <c r="E128" s="153" cm="1">
        <f t="array" ref="E128">INDEX(N128:Q128,case_number)</f>
        <v>-14.301809497206559</v>
      </c>
      <c r="F128" s="109" cm="1">
        <f t="array" aca="1" ref="F128" ca="1">INDIRECT(sheet_name&amp;"!MZT2_")</f>
        <v>-14.300715358900197</v>
      </c>
      <c r="G128" s="118">
        <f t="shared" ca="1" si="13"/>
        <v>-7.6503487658381771E-5</v>
      </c>
      <c r="L128" s="151" t="s">
        <v>340</v>
      </c>
      <c r="M128" s="103" t="s">
        <v>121</v>
      </c>
      <c r="N128" s="113">
        <v>-14.301809497206559</v>
      </c>
      <c r="O128" s="113">
        <v>-14.688982839721653</v>
      </c>
      <c r="P128" s="113">
        <v>-15.303932945737131</v>
      </c>
      <c r="Q128" s="113">
        <v>-15.210536670954323</v>
      </c>
      <c r="R128" s="150" t="s">
        <v>333</v>
      </c>
      <c r="AB128" s="169">
        <v>248650.85699999999</v>
      </c>
      <c r="AC128" s="169">
        <v>-153435.1</v>
      </c>
      <c r="AD128" s="170">
        <v>5582.2</v>
      </c>
    </row>
    <row r="129" spans="3:30" ht="16.2">
      <c r="C129" s="151" t="s">
        <v>341</v>
      </c>
      <c r="D129" s="103" t="s">
        <v>121</v>
      </c>
      <c r="E129" s="153" cm="1">
        <f t="array" ref="E129">INDEX(N129:Q129,case_number)</f>
        <v>-14.316234237263945</v>
      </c>
      <c r="F129" s="109" cm="1">
        <f t="array" aca="1" ref="F129" ca="1">INDIRECT(sheet_name&amp;"!point1.Ms")</f>
        <v>-14.315138917931357</v>
      </c>
      <c r="G129" s="118">
        <f ca="1">(F129-E129)/E129</f>
        <v>-7.65088999268533E-5</v>
      </c>
      <c r="L129" s="151" t="s">
        <v>341</v>
      </c>
      <c r="M129" s="103" t="s">
        <v>121</v>
      </c>
      <c r="N129" s="108">
        <v>-14.316234237263945</v>
      </c>
      <c r="O129" s="108">
        <v>-14.70375096645887</v>
      </c>
      <c r="P129" s="108">
        <v>-15.319310952312602</v>
      </c>
      <c r="Q129" s="108">
        <v>-15.225798442830289</v>
      </c>
      <c r="AB129" s="169">
        <v>276278.73</v>
      </c>
      <c r="AC129" s="169">
        <v>-153435.1</v>
      </c>
      <c r="AD129" s="170">
        <v>2217.0500000000002</v>
      </c>
    </row>
    <row r="130" spans="3:30" ht="16.2">
      <c r="C130" s="151" t="s">
        <v>342</v>
      </c>
      <c r="D130" s="103" t="s">
        <v>121</v>
      </c>
      <c r="E130" s="108" cm="1">
        <f t="array" ref="E130">INDEX(N130:Q130,case_number)</f>
        <v>431.77809488888215</v>
      </c>
      <c r="F130" s="109" cm="1">
        <f t="array" aca="1" ref="F130" ca="1">INDIRECT(sheet_name&amp;"!point2.Ms")</f>
        <v>431.79223090773752</v>
      </c>
      <c r="G130" s="118">
        <f ca="1">(F130-E130)/E130</f>
        <v>3.2739082928710258E-5</v>
      </c>
      <c r="L130" s="151" t="s">
        <v>342</v>
      </c>
      <c r="M130" s="103" t="s">
        <v>121</v>
      </c>
      <c r="N130" s="108">
        <v>431.77809488888215</v>
      </c>
      <c r="O130" s="108">
        <v>413.22415402386713</v>
      </c>
      <c r="P130" s="108">
        <v>386.31120200107785</v>
      </c>
      <c r="Q130" s="108">
        <v>390.30176947390657</v>
      </c>
      <c r="AB130" s="169">
        <v>303906.603</v>
      </c>
      <c r="AC130" s="169">
        <v>-153435.1</v>
      </c>
      <c r="AD130" s="170">
        <v>1169.0899999999999</v>
      </c>
    </row>
    <row r="131" spans="3:30" ht="16.2">
      <c r="C131" s="151" t="s">
        <v>343</v>
      </c>
      <c r="D131" s="103" t="s">
        <v>121</v>
      </c>
      <c r="E131" s="108" cm="1">
        <f t="array" ref="E131">INDEX(N131:Q131,case_number)</f>
        <v>26.17391590363539</v>
      </c>
      <c r="F131" s="109" cm="1">
        <f t="array" aca="1" ref="F131" ca="1">INDIRECT(sheet_name&amp;"!point3.Ms")</f>
        <v>26.172083817521038</v>
      </c>
      <c r="G131" s="118">
        <f ca="1">(F131-E131)/E131</f>
        <v>-6.999663791603373E-5</v>
      </c>
      <c r="H131" t="s">
        <v>334</v>
      </c>
      <c r="L131" s="151" t="s">
        <v>343</v>
      </c>
      <c r="M131" s="103" t="s">
        <v>121</v>
      </c>
      <c r="N131" s="108">
        <v>26.17391590363539</v>
      </c>
      <c r="O131" s="108">
        <v>26.19218592081117</v>
      </c>
      <c r="P131" s="108">
        <v>26.872262041769602</v>
      </c>
      <c r="Q131" s="108">
        <v>26.563084072023184</v>
      </c>
      <c r="AB131" s="169">
        <v>331534.47600000002</v>
      </c>
      <c r="AC131" s="169">
        <v>-153435.1</v>
      </c>
      <c r="AD131" s="170">
        <v>326.435</v>
      </c>
    </row>
    <row r="132" spans="3:30" ht="15.6">
      <c r="C132" s="112" t="s">
        <v>344</v>
      </c>
      <c r="E132" s="108" cm="1">
        <f t="array" ref="E132">INDEX(N132:Q132,case_number)</f>
        <v>1.2601304885605856E-4</v>
      </c>
      <c r="F132" s="109" cm="1">
        <f t="array" aca="1" ref="F132" ca="1">INDIRECT(sheet_name&amp;"!Ms_coeff.tens.2")*1000^2</f>
        <v>1.260094310212921E-4</v>
      </c>
      <c r="G132" s="118">
        <f t="shared" ref="G132:G136" ca="1" si="14">(F132-E132)/E132</f>
        <v>-2.8710001061876886E-5</v>
      </c>
      <c r="H132" t="s">
        <v>335</v>
      </c>
      <c r="L132" s="112" t="s">
        <v>344</v>
      </c>
      <c r="N132" s="154">
        <v>1.2601304885605856E-4</v>
      </c>
      <c r="O132" s="154">
        <v>1.2856977561542386E-4</v>
      </c>
      <c r="P132" s="154">
        <v>1.3007966220507302E-4</v>
      </c>
      <c r="Q132" s="154">
        <v>1.3078723387585834E-4</v>
      </c>
      <c r="R132" t="s">
        <v>334</v>
      </c>
      <c r="AB132" s="169">
        <v>359162.34899999999</v>
      </c>
      <c r="AC132" s="169">
        <v>-153435.1</v>
      </c>
      <c r="AD132" s="170">
        <v>290.89999999999998</v>
      </c>
    </row>
    <row r="133" spans="3:30" ht="15.6">
      <c r="C133" s="112" t="s">
        <v>345</v>
      </c>
      <c r="E133" s="108" cm="1">
        <f t="array" ref="E133">INDEX(N133:Q133,case_number)</f>
        <v>0.17581297254162906</v>
      </c>
      <c r="F133" s="109" cm="1">
        <f t="array" aca="1" ref="F133" ca="1">INDIRECT(sheet_name&amp;"!Ms_coeff.tens.1")*1000</f>
        <v>0.17580010223973566</v>
      </c>
      <c r="G133" s="118">
        <f t="shared" ca="1" si="14"/>
        <v>-7.3204506512452572E-5</v>
      </c>
      <c r="H133" t="s">
        <v>336</v>
      </c>
      <c r="L133" s="112" t="s">
        <v>345</v>
      </c>
      <c r="N133" s="154">
        <v>0.17581297254162906</v>
      </c>
      <c r="O133" s="154">
        <v>0.17998512090897312</v>
      </c>
      <c r="P133" s="154">
        <v>0.18666777220770875</v>
      </c>
      <c r="Q133" s="154">
        <v>0.18563423701487874</v>
      </c>
      <c r="R133" t="s">
        <v>335</v>
      </c>
      <c r="AB133" s="169">
        <v>386790.22200000001</v>
      </c>
      <c r="AC133" s="169">
        <v>-153435.1</v>
      </c>
      <c r="AD133" s="170">
        <v>64.86</v>
      </c>
    </row>
    <row r="134" spans="3:30" ht="15.6">
      <c r="C134" s="112" t="s">
        <v>346</v>
      </c>
      <c r="E134" s="108" cm="1">
        <f t="array" ref="E134">INDEX(N134:Q134,case_number)</f>
        <v>2.8772164752661951</v>
      </c>
      <c r="F134" s="109" cm="1">
        <f t="array" aca="1" ref="F134" ca="1">INDIRECT(sheet_name&amp;"!Ms_coeff.tens.0")</f>
        <v>2.8769903713044407</v>
      </c>
      <c r="G134" s="118">
        <f t="shared" ca="1" si="14"/>
        <v>-7.8584271881543814E-5</v>
      </c>
      <c r="L134" s="112" t="s">
        <v>346</v>
      </c>
      <c r="N134" s="154">
        <v>2.8772164752661951</v>
      </c>
      <c r="O134" s="154">
        <v>2.9025665862904901</v>
      </c>
      <c r="P134" s="154">
        <v>2.9772572434996221</v>
      </c>
      <c r="Q134" s="154">
        <v>2.9534777615933763</v>
      </c>
      <c r="R134" t="s">
        <v>336</v>
      </c>
      <c r="AB134" s="169">
        <v>414418.09499999997</v>
      </c>
      <c r="AC134" s="169">
        <v>-153435.1</v>
      </c>
      <c r="AD134" s="170">
        <v>34.454999999999998</v>
      </c>
    </row>
    <row r="135" spans="3:30">
      <c r="L135" s="112"/>
      <c r="N135" s="112"/>
      <c r="O135" s="112"/>
      <c r="P135" s="112"/>
      <c r="Q135" s="112"/>
      <c r="AB135" s="169">
        <v>442045.96799999999</v>
      </c>
      <c r="AC135" s="169">
        <v>-153435.1</v>
      </c>
      <c r="AD135" s="170">
        <v>5.5650000000000004</v>
      </c>
    </row>
    <row r="136" spans="3:30">
      <c r="C136" s="103" t="s">
        <v>93</v>
      </c>
      <c r="E136" s="109" cm="1">
        <f t="array" ref="E136">INDEX(N136:Q136,case_number)</f>
        <v>2.1275495616808784</v>
      </c>
      <c r="F136" s="109" cm="1">
        <f t="array" aca="1" ref="F136" ca="1">INDIRECT(sheet_name&amp;"!Damage")</f>
        <v>2.1000034587266816</v>
      </c>
      <c r="G136" s="118">
        <f t="shared" ca="1" si="14"/>
        <v>-1.2947337843652344E-2</v>
      </c>
      <c r="L136" s="103" t="s">
        <v>93</v>
      </c>
      <c r="M136" s="158"/>
      <c r="N136" s="109">
        <v>2.1275495616808784</v>
      </c>
      <c r="O136" s="109">
        <v>2.5882463035095027</v>
      </c>
      <c r="P136" s="109">
        <v>3.4815941017418619</v>
      </c>
      <c r="Q136" s="109">
        <v>3.3462236313862772</v>
      </c>
      <c r="R136" t="s">
        <v>397</v>
      </c>
      <c r="AB136" s="169">
        <v>469673.84100000001</v>
      </c>
      <c r="AC136" s="169">
        <v>-153435.1</v>
      </c>
      <c r="AD136" s="170">
        <v>6.2249999999999996</v>
      </c>
    </row>
    <row r="137" spans="3:30">
      <c r="AB137" s="169">
        <v>497301.71399999998</v>
      </c>
      <c r="AC137" s="169">
        <v>-153435.1</v>
      </c>
      <c r="AD137" s="170">
        <v>1.86</v>
      </c>
    </row>
    <row r="138" spans="3:30">
      <c r="AB138" s="169">
        <v>524929.58700000006</v>
      </c>
      <c r="AC138" s="169">
        <v>-153435.1</v>
      </c>
      <c r="AD138" s="170">
        <v>10.1</v>
      </c>
    </row>
    <row r="139" spans="3:30">
      <c r="AB139" s="169">
        <v>552557.46</v>
      </c>
      <c r="AC139" s="169">
        <v>-153435.1</v>
      </c>
      <c r="AD139" s="170">
        <v>1.54</v>
      </c>
    </row>
    <row r="140" spans="3:30">
      <c r="AB140" s="169">
        <v>0.1330700007</v>
      </c>
      <c r="AC140" s="169">
        <v>-132120.29999999999</v>
      </c>
      <c r="AD140" s="170">
        <v>23818200</v>
      </c>
    </row>
    <row r="141" spans="3:30">
      <c r="AB141" s="169">
        <v>27628.027699999999</v>
      </c>
      <c r="AC141" s="169">
        <v>-132120.29999999999</v>
      </c>
      <c r="AD141" s="170">
        <v>1973110</v>
      </c>
    </row>
    <row r="142" spans="3:30">
      <c r="AB142" s="169">
        <v>55255.900699999998</v>
      </c>
      <c r="AC142" s="169">
        <v>-132120.29999999999</v>
      </c>
      <c r="AD142" s="170">
        <v>970059</v>
      </c>
    </row>
    <row r="143" spans="3:30">
      <c r="AB143" s="169">
        <v>82883.619000000006</v>
      </c>
      <c r="AC143" s="169">
        <v>-132120.29999999999</v>
      </c>
      <c r="AD143" s="170">
        <v>415075</v>
      </c>
    </row>
    <row r="144" spans="3:30">
      <c r="AB144" s="169">
        <v>110511.492</v>
      </c>
      <c r="AC144" s="169">
        <v>-132120.29999999999</v>
      </c>
      <c r="AD144" s="170">
        <v>188807</v>
      </c>
    </row>
    <row r="145" spans="28:30">
      <c r="AB145" s="169">
        <v>138139.36499999999</v>
      </c>
      <c r="AC145" s="169">
        <v>-132120.29999999999</v>
      </c>
      <c r="AD145" s="170">
        <v>87490</v>
      </c>
    </row>
    <row r="146" spans="28:30">
      <c r="AB146" s="169">
        <v>165767.23800000001</v>
      </c>
      <c r="AC146" s="169">
        <v>-132120.29999999999</v>
      </c>
      <c r="AD146" s="170">
        <v>55671.8</v>
      </c>
    </row>
    <row r="147" spans="28:30">
      <c r="AB147" s="169">
        <v>193395.111</v>
      </c>
      <c r="AC147" s="169">
        <v>-132120.29999999999</v>
      </c>
      <c r="AD147" s="170">
        <v>22593.4</v>
      </c>
    </row>
    <row r="148" spans="28:30">
      <c r="AB148" s="169">
        <v>221022.984</v>
      </c>
      <c r="AC148" s="169">
        <v>-132120.29999999999</v>
      </c>
      <c r="AD148" s="170">
        <v>12542.3</v>
      </c>
    </row>
    <row r="149" spans="28:30">
      <c r="AB149" s="169">
        <v>248650.85699999999</v>
      </c>
      <c r="AC149" s="169">
        <v>-132120.29999999999</v>
      </c>
      <c r="AD149" s="170">
        <v>6193.51</v>
      </c>
    </row>
    <row r="150" spans="28:30">
      <c r="AB150" s="169">
        <v>276278.73</v>
      </c>
      <c r="AC150" s="169">
        <v>-132120.29999999999</v>
      </c>
      <c r="AD150" s="170">
        <v>3626.11</v>
      </c>
    </row>
    <row r="151" spans="28:30">
      <c r="AB151" s="169">
        <v>303906.603</v>
      </c>
      <c r="AC151" s="169">
        <v>-132120.29999999999</v>
      </c>
      <c r="AD151" s="170">
        <v>1463.84</v>
      </c>
    </row>
    <row r="152" spans="28:30">
      <c r="AB152" s="169">
        <v>331534.47600000002</v>
      </c>
      <c r="AC152" s="169">
        <v>-132120.29999999999</v>
      </c>
      <c r="AD152" s="170">
        <v>749.44</v>
      </c>
    </row>
    <row r="153" spans="28:30">
      <c r="AB153" s="169">
        <v>359162.34899999999</v>
      </c>
      <c r="AC153" s="169">
        <v>-132120.29999999999</v>
      </c>
      <c r="AD153" s="170">
        <v>341.21</v>
      </c>
    </row>
    <row r="154" spans="28:30">
      <c r="AB154" s="169">
        <v>386790.22200000001</v>
      </c>
      <c r="AC154" s="169">
        <v>-132120.29999999999</v>
      </c>
      <c r="AD154" s="170">
        <v>150.36000000000001</v>
      </c>
    </row>
    <row r="155" spans="28:30">
      <c r="AB155" s="169">
        <v>414418.09499999997</v>
      </c>
      <c r="AC155" s="169">
        <v>-132120.29999999999</v>
      </c>
      <c r="AD155" s="170">
        <v>104.41500000000001</v>
      </c>
    </row>
    <row r="156" spans="28:30">
      <c r="AB156" s="169">
        <v>442045.96799999999</v>
      </c>
      <c r="AC156" s="169">
        <v>-132120.29999999999</v>
      </c>
      <c r="AD156" s="170">
        <v>47.805</v>
      </c>
    </row>
    <row r="157" spans="28:30">
      <c r="AB157" s="169">
        <v>469673.84100000001</v>
      </c>
      <c r="AC157" s="169">
        <v>-132120.29999999999</v>
      </c>
      <c r="AD157" s="170">
        <v>5.6849999999999996</v>
      </c>
    </row>
    <row r="158" spans="28:30">
      <c r="AB158" s="169">
        <v>497301.71399999998</v>
      </c>
      <c r="AC158" s="169">
        <v>-132120.29999999999</v>
      </c>
      <c r="AD158" s="170">
        <v>8.92</v>
      </c>
    </row>
    <row r="159" spans="28:30">
      <c r="AB159" s="169">
        <v>524929.58700000006</v>
      </c>
      <c r="AC159" s="169">
        <v>-132120.29999999999</v>
      </c>
      <c r="AD159" s="170">
        <v>3.74</v>
      </c>
    </row>
    <row r="160" spans="28:30">
      <c r="AB160" s="169">
        <v>552557.46</v>
      </c>
      <c r="AC160" s="169">
        <v>-132120.29999999999</v>
      </c>
      <c r="AD160" s="170">
        <v>1.54</v>
      </c>
    </row>
    <row r="161" spans="28:30">
      <c r="AB161" s="169">
        <v>0.1330700007</v>
      </c>
      <c r="AC161" s="169">
        <v>-110805.24</v>
      </c>
      <c r="AD161" s="170">
        <v>25878700</v>
      </c>
    </row>
    <row r="162" spans="28:30">
      <c r="AB162" s="169">
        <v>27628.027699999999</v>
      </c>
      <c r="AC162" s="169">
        <v>-110805.24</v>
      </c>
      <c r="AD162" s="170">
        <v>2084780</v>
      </c>
    </row>
    <row r="163" spans="28:30">
      <c r="AB163" s="169">
        <v>55255.900699999998</v>
      </c>
      <c r="AC163" s="169">
        <v>-110805.24</v>
      </c>
      <c r="AD163" s="170">
        <v>1058320</v>
      </c>
    </row>
    <row r="164" spans="28:30">
      <c r="AB164" s="169">
        <v>82883.619000000006</v>
      </c>
      <c r="AC164" s="169">
        <v>-110805.24</v>
      </c>
      <c r="AD164" s="170">
        <v>576799</v>
      </c>
    </row>
    <row r="165" spans="28:30">
      <c r="AB165" s="169">
        <v>110511.492</v>
      </c>
      <c r="AC165" s="169">
        <v>-110805.24</v>
      </c>
      <c r="AD165" s="170">
        <v>242564</v>
      </c>
    </row>
    <row r="166" spans="28:30">
      <c r="AB166" s="169">
        <v>138139.36499999999</v>
      </c>
      <c r="AC166" s="169">
        <v>-110805.24</v>
      </c>
      <c r="AD166" s="170">
        <v>97980.7</v>
      </c>
    </row>
    <row r="167" spans="28:30">
      <c r="AB167" s="169">
        <v>165767.23800000001</v>
      </c>
      <c r="AC167" s="169">
        <v>-110805.24</v>
      </c>
      <c r="AD167" s="170">
        <v>48124.4</v>
      </c>
    </row>
    <row r="168" spans="28:30">
      <c r="AB168" s="169">
        <v>193395.111</v>
      </c>
      <c r="AC168" s="169">
        <v>-110805.24</v>
      </c>
      <c r="AD168" s="170">
        <v>24630.7</v>
      </c>
    </row>
    <row r="169" spans="28:30">
      <c r="AB169" s="169">
        <v>221022.984</v>
      </c>
      <c r="AC169" s="169">
        <v>-110805.24</v>
      </c>
      <c r="AD169" s="170">
        <v>14495</v>
      </c>
    </row>
    <row r="170" spans="28:30">
      <c r="AB170" s="169">
        <v>248650.85699999999</v>
      </c>
      <c r="AC170" s="169">
        <v>-110805.24</v>
      </c>
      <c r="AD170" s="170">
        <v>7942.22</v>
      </c>
    </row>
    <row r="171" spans="28:30">
      <c r="AB171" s="169">
        <v>276278.73</v>
      </c>
      <c r="AC171" s="169">
        <v>-110805.24</v>
      </c>
      <c r="AD171" s="170">
        <v>3444.84</v>
      </c>
    </row>
    <row r="172" spans="28:30">
      <c r="AB172" s="169">
        <v>303906.603</v>
      </c>
      <c r="AC172" s="169">
        <v>-110805.24</v>
      </c>
      <c r="AD172" s="170">
        <v>1611.7</v>
      </c>
    </row>
    <row r="173" spans="28:30">
      <c r="AB173" s="169">
        <v>331534.47600000002</v>
      </c>
      <c r="AC173" s="169">
        <v>-110805.24</v>
      </c>
      <c r="AD173" s="170">
        <v>1086.8599999999999</v>
      </c>
    </row>
    <row r="174" spans="28:30">
      <c r="AB174" s="169">
        <v>359162.34899999999</v>
      </c>
      <c r="AC174" s="169">
        <v>-110805.24</v>
      </c>
      <c r="AD174" s="170">
        <v>640.98500000000001</v>
      </c>
    </row>
    <row r="175" spans="28:30">
      <c r="AB175" s="169">
        <v>386790.22200000001</v>
      </c>
      <c r="AC175" s="169">
        <v>-110805.24</v>
      </c>
      <c r="AD175" s="170">
        <v>457.59</v>
      </c>
    </row>
    <row r="176" spans="28:30">
      <c r="AB176" s="169">
        <v>414418.09499999997</v>
      </c>
      <c r="AC176" s="169">
        <v>-110805.24</v>
      </c>
      <c r="AD176" s="170">
        <v>137.03</v>
      </c>
    </row>
    <row r="177" spans="28:30">
      <c r="AB177" s="169">
        <v>442045.96799999999</v>
      </c>
      <c r="AC177" s="169">
        <v>-110805.24</v>
      </c>
      <c r="AD177" s="170">
        <v>54.814999999999998</v>
      </c>
    </row>
    <row r="178" spans="28:30">
      <c r="AB178" s="169">
        <v>469673.84100000001</v>
      </c>
      <c r="AC178" s="169">
        <v>-110805.24</v>
      </c>
      <c r="AD178" s="170">
        <v>180.495</v>
      </c>
    </row>
    <row r="179" spans="28:30">
      <c r="AB179" s="169">
        <v>497301.71399999998</v>
      </c>
      <c r="AC179" s="169">
        <v>-110805.24</v>
      </c>
      <c r="AD179" s="170">
        <v>14.525</v>
      </c>
    </row>
    <row r="180" spans="28:30">
      <c r="AB180" s="169">
        <v>524929.58700000006</v>
      </c>
      <c r="AC180" s="169">
        <v>-110805.24</v>
      </c>
      <c r="AD180" s="170">
        <v>4.4999999999999998E-2</v>
      </c>
    </row>
    <row r="181" spans="28:30">
      <c r="AB181" s="169">
        <v>552557.46</v>
      </c>
      <c r="AC181" s="169">
        <v>-110805.24</v>
      </c>
      <c r="AD181" s="170">
        <v>1.355</v>
      </c>
    </row>
    <row r="182" spans="28:30">
      <c r="AB182" s="169">
        <v>580185.33299999998</v>
      </c>
      <c r="AC182" s="169">
        <v>-110805.24</v>
      </c>
      <c r="AD182" s="170">
        <v>86.165000000000006</v>
      </c>
    </row>
    <row r="183" spans="28:30">
      <c r="AB183" s="169">
        <v>663068.95200000005</v>
      </c>
      <c r="AC183" s="169">
        <v>-110805.24</v>
      </c>
      <c r="AD183" s="170">
        <v>0.1</v>
      </c>
    </row>
    <row r="184" spans="28:30">
      <c r="AB184" s="169">
        <v>0.1330700007</v>
      </c>
      <c r="AC184" s="169">
        <v>-89490.57</v>
      </c>
      <c r="AD184" s="170">
        <v>25238100</v>
      </c>
    </row>
    <row r="185" spans="28:30">
      <c r="AB185" s="169">
        <v>27628.027699999999</v>
      </c>
      <c r="AC185" s="169">
        <v>-89490.57</v>
      </c>
      <c r="AD185" s="170">
        <v>2058140</v>
      </c>
    </row>
    <row r="186" spans="28:30">
      <c r="AB186" s="169">
        <v>55255.900699999998</v>
      </c>
      <c r="AC186" s="169">
        <v>-89490.57</v>
      </c>
      <c r="AD186" s="170">
        <v>868550</v>
      </c>
    </row>
    <row r="187" spans="28:30">
      <c r="AB187" s="169">
        <v>82883.619000000006</v>
      </c>
      <c r="AC187" s="169">
        <v>-89490.57</v>
      </c>
      <c r="AD187" s="170">
        <v>579293</v>
      </c>
    </row>
    <row r="188" spans="28:30">
      <c r="AB188" s="169">
        <v>110511.492</v>
      </c>
      <c r="AC188" s="169">
        <v>-89490.57</v>
      </c>
      <c r="AD188" s="170">
        <v>333925</v>
      </c>
    </row>
    <row r="189" spans="28:30">
      <c r="AB189" s="169">
        <v>138139.36499999999</v>
      </c>
      <c r="AC189" s="169">
        <v>-89490.57</v>
      </c>
      <c r="AD189" s="170">
        <v>123931</v>
      </c>
    </row>
    <row r="190" spans="28:30">
      <c r="AB190" s="169">
        <v>165767.23800000001</v>
      </c>
      <c r="AC190" s="169">
        <v>-89490.57</v>
      </c>
      <c r="AD190" s="170">
        <v>74884.3</v>
      </c>
    </row>
    <row r="191" spans="28:30">
      <c r="AB191" s="169">
        <v>193395.111</v>
      </c>
      <c r="AC191" s="169">
        <v>-89490.57</v>
      </c>
      <c r="AD191" s="170">
        <v>34345.9</v>
      </c>
    </row>
    <row r="192" spans="28:30">
      <c r="AB192" s="169">
        <v>221022.984</v>
      </c>
      <c r="AC192" s="169">
        <v>-89490.57</v>
      </c>
      <c r="AD192" s="170">
        <v>14459.2</v>
      </c>
    </row>
    <row r="193" spans="28:30">
      <c r="AB193" s="169">
        <v>248650.85699999999</v>
      </c>
      <c r="AC193" s="169">
        <v>-89490.57</v>
      </c>
      <c r="AD193" s="170">
        <v>7350.07</v>
      </c>
    </row>
    <row r="194" spans="28:30">
      <c r="AB194" s="169">
        <v>276278.73</v>
      </c>
      <c r="AC194" s="169">
        <v>-89490.57</v>
      </c>
      <c r="AD194" s="170">
        <v>2459.4899999999998</v>
      </c>
    </row>
    <row r="195" spans="28:30">
      <c r="AB195" s="169">
        <v>303906.603</v>
      </c>
      <c r="AC195" s="169">
        <v>-89490.57</v>
      </c>
      <c r="AD195" s="170">
        <v>2334.96</v>
      </c>
    </row>
    <row r="196" spans="28:30">
      <c r="AB196" s="169">
        <v>331534.47600000002</v>
      </c>
      <c r="AC196" s="169">
        <v>-89490.57</v>
      </c>
      <c r="AD196" s="170">
        <v>743.58500000000004</v>
      </c>
    </row>
    <row r="197" spans="28:30">
      <c r="AB197" s="169">
        <v>359162.34899999999</v>
      </c>
      <c r="AC197" s="169">
        <v>-89490.57</v>
      </c>
      <c r="AD197" s="170">
        <v>548.52</v>
      </c>
    </row>
    <row r="198" spans="28:30">
      <c r="AB198" s="169">
        <v>386790.22200000001</v>
      </c>
      <c r="AC198" s="169">
        <v>-89490.57</v>
      </c>
      <c r="AD198" s="170">
        <v>545.93499999999995</v>
      </c>
    </row>
    <row r="199" spans="28:30">
      <c r="AB199" s="169">
        <v>414418.09499999997</v>
      </c>
      <c r="AC199" s="169">
        <v>-89490.57</v>
      </c>
      <c r="AD199" s="170">
        <v>324.10500000000002</v>
      </c>
    </row>
    <row r="200" spans="28:30">
      <c r="AB200" s="169">
        <v>442045.96799999999</v>
      </c>
      <c r="AC200" s="169">
        <v>-89490.57</v>
      </c>
      <c r="AD200" s="170">
        <v>232.51</v>
      </c>
    </row>
    <row r="201" spans="28:30">
      <c r="AB201" s="169">
        <v>469673.84100000001</v>
      </c>
      <c r="AC201" s="169">
        <v>-89490.57</v>
      </c>
      <c r="AD201" s="170">
        <v>270.73</v>
      </c>
    </row>
    <row r="202" spans="28:30">
      <c r="AB202" s="169">
        <v>497301.71399999998</v>
      </c>
      <c r="AC202" s="169">
        <v>-89490.57</v>
      </c>
      <c r="AD202" s="170">
        <v>3.4449999999999998</v>
      </c>
    </row>
    <row r="203" spans="28:30">
      <c r="AB203" s="169">
        <v>524929.58700000006</v>
      </c>
      <c r="AC203" s="169">
        <v>-89490.57</v>
      </c>
      <c r="AD203" s="170">
        <v>0.86</v>
      </c>
    </row>
    <row r="204" spans="28:30">
      <c r="AB204" s="169">
        <v>552557.46</v>
      </c>
      <c r="AC204" s="169">
        <v>-89490.57</v>
      </c>
      <c r="AD204" s="170">
        <v>0.81</v>
      </c>
    </row>
    <row r="205" spans="28:30">
      <c r="AB205" s="169">
        <v>580185.33299999998</v>
      </c>
      <c r="AC205" s="169">
        <v>-89490.57</v>
      </c>
      <c r="AD205" s="170">
        <v>1.96</v>
      </c>
    </row>
    <row r="206" spans="28:30">
      <c r="AB206" s="169">
        <v>607813.20600000001</v>
      </c>
      <c r="AC206" s="169">
        <v>-89490.57</v>
      </c>
      <c r="AD206" s="170">
        <v>7.0000000000000007E-2</v>
      </c>
    </row>
    <row r="207" spans="28:30">
      <c r="AB207" s="169">
        <v>635441.07900000003</v>
      </c>
      <c r="AC207" s="169">
        <v>-89490.57</v>
      </c>
      <c r="AD207" s="170">
        <v>0.25</v>
      </c>
    </row>
    <row r="208" spans="28:30">
      <c r="AB208" s="169">
        <v>663068.95200000005</v>
      </c>
      <c r="AC208" s="169">
        <v>-89490.57</v>
      </c>
      <c r="AD208" s="170">
        <v>48.95</v>
      </c>
    </row>
    <row r="209" spans="28:30">
      <c r="AB209" s="169">
        <v>690696.82499999995</v>
      </c>
      <c r="AC209" s="169">
        <v>-89490.57</v>
      </c>
      <c r="AD209" s="170">
        <v>0.1</v>
      </c>
    </row>
    <row r="210" spans="28:30">
      <c r="AB210" s="169">
        <v>0.1330700007</v>
      </c>
      <c r="AC210" s="169">
        <v>-68175.899999999994</v>
      </c>
      <c r="AD210" s="170">
        <v>23772400</v>
      </c>
    </row>
    <row r="211" spans="28:30">
      <c r="AB211" s="169">
        <v>27628.027699999999</v>
      </c>
      <c r="AC211" s="169">
        <v>-68175.899999999994</v>
      </c>
      <c r="AD211" s="170">
        <v>1970870</v>
      </c>
    </row>
    <row r="212" spans="28:30">
      <c r="AB212" s="169">
        <v>55255.900699999998</v>
      </c>
      <c r="AC212" s="169">
        <v>-68175.899999999994</v>
      </c>
      <c r="AD212" s="170">
        <v>708442</v>
      </c>
    </row>
    <row r="213" spans="28:30">
      <c r="AB213" s="169">
        <v>82883.619000000006</v>
      </c>
      <c r="AC213" s="169">
        <v>-68175.899999999994</v>
      </c>
      <c r="AD213" s="170">
        <v>467554</v>
      </c>
    </row>
    <row r="214" spans="28:30">
      <c r="AB214" s="169">
        <v>110511.492</v>
      </c>
      <c r="AC214" s="169">
        <v>-68175.899999999994</v>
      </c>
      <c r="AD214" s="170">
        <v>309338</v>
      </c>
    </row>
    <row r="215" spans="28:30">
      <c r="AB215" s="169">
        <v>138139.36499999999</v>
      </c>
      <c r="AC215" s="169">
        <v>-68175.899999999994</v>
      </c>
      <c r="AD215" s="170">
        <v>227809</v>
      </c>
    </row>
    <row r="216" spans="28:30">
      <c r="AB216" s="169">
        <v>165767.23800000001</v>
      </c>
      <c r="AC216" s="169">
        <v>-68175.899999999994</v>
      </c>
      <c r="AD216" s="170">
        <v>126551</v>
      </c>
    </row>
    <row r="217" spans="28:30">
      <c r="AB217" s="169">
        <v>193395.111</v>
      </c>
      <c r="AC217" s="169">
        <v>-68175.899999999994</v>
      </c>
      <c r="AD217" s="170">
        <v>54220.5</v>
      </c>
    </row>
    <row r="218" spans="28:30">
      <c r="AB218" s="169">
        <v>221022.984</v>
      </c>
      <c r="AC218" s="169">
        <v>-68175.899999999994</v>
      </c>
      <c r="AD218" s="170">
        <v>30950.5</v>
      </c>
    </row>
    <row r="219" spans="28:30">
      <c r="AB219" s="169">
        <v>248650.85699999999</v>
      </c>
      <c r="AC219" s="169">
        <v>-68175.899999999994</v>
      </c>
      <c r="AD219" s="170">
        <v>15552.7</v>
      </c>
    </row>
    <row r="220" spans="28:30">
      <c r="AB220" s="169">
        <v>276278.73</v>
      </c>
      <c r="AC220" s="169">
        <v>-68175.899999999994</v>
      </c>
      <c r="AD220" s="170">
        <v>6899.19</v>
      </c>
    </row>
    <row r="221" spans="28:30">
      <c r="AB221" s="169">
        <v>303906.603</v>
      </c>
      <c r="AC221" s="169">
        <v>-68175.899999999994</v>
      </c>
      <c r="AD221" s="170">
        <v>5076.54</v>
      </c>
    </row>
    <row r="222" spans="28:30">
      <c r="AB222" s="169">
        <v>331534.47600000002</v>
      </c>
      <c r="AC222" s="169">
        <v>-68175.899999999994</v>
      </c>
      <c r="AD222" s="170">
        <v>1194.72</v>
      </c>
    </row>
    <row r="223" spans="28:30">
      <c r="AB223" s="169">
        <v>359162.34899999999</v>
      </c>
      <c r="AC223" s="169">
        <v>-68175.899999999994</v>
      </c>
      <c r="AD223" s="170">
        <v>243.74</v>
      </c>
    </row>
    <row r="224" spans="28:30">
      <c r="AB224" s="169">
        <v>386790.22200000001</v>
      </c>
      <c r="AC224" s="169">
        <v>-68175.899999999994</v>
      </c>
      <c r="AD224" s="170">
        <v>185.71</v>
      </c>
    </row>
    <row r="225" spans="28:30">
      <c r="AB225" s="169">
        <v>414418.09499999997</v>
      </c>
      <c r="AC225" s="169">
        <v>-68175.899999999994</v>
      </c>
      <c r="AD225" s="170">
        <v>597.01499999999999</v>
      </c>
    </row>
    <row r="226" spans="28:30">
      <c r="AB226" s="169">
        <v>442045.96799999999</v>
      </c>
      <c r="AC226" s="169">
        <v>-68175.899999999994</v>
      </c>
      <c r="AD226" s="170">
        <v>177.56</v>
      </c>
    </row>
    <row r="227" spans="28:30">
      <c r="AB227" s="169">
        <v>469673.84100000001</v>
      </c>
      <c r="AC227" s="169">
        <v>-68175.899999999994</v>
      </c>
      <c r="AD227" s="170">
        <v>36.630000000000003</v>
      </c>
    </row>
    <row r="228" spans="28:30">
      <c r="AB228" s="169">
        <v>497301.71399999998</v>
      </c>
      <c r="AC228" s="169">
        <v>-68175.899999999994</v>
      </c>
      <c r="AD228" s="170">
        <v>334.35500000000002</v>
      </c>
    </row>
    <row r="229" spans="28:30">
      <c r="AB229" s="169">
        <v>552557.46</v>
      </c>
      <c r="AC229" s="169">
        <v>-68175.899999999994</v>
      </c>
      <c r="AD229" s="170">
        <v>3.7149999999999999</v>
      </c>
    </row>
    <row r="230" spans="28:30">
      <c r="AB230" s="169">
        <v>607813.20600000001</v>
      </c>
      <c r="AC230" s="169">
        <v>-68175.899999999994</v>
      </c>
      <c r="AD230" s="170">
        <v>0.05</v>
      </c>
    </row>
    <row r="231" spans="28:30">
      <c r="AB231" s="169">
        <v>663068.95200000005</v>
      </c>
      <c r="AC231" s="169">
        <v>-68175.899999999994</v>
      </c>
      <c r="AD231" s="170">
        <v>0.15</v>
      </c>
    </row>
    <row r="232" spans="28:30">
      <c r="AB232" s="169">
        <v>0.1330700007</v>
      </c>
      <c r="AC232" s="169">
        <v>-46861.23</v>
      </c>
      <c r="AD232" s="170">
        <v>25505900</v>
      </c>
    </row>
    <row r="233" spans="28:30">
      <c r="AB233" s="169">
        <v>27628.027699999999</v>
      </c>
      <c r="AC233" s="169">
        <v>-46861.23</v>
      </c>
      <c r="AD233" s="170">
        <v>3933560</v>
      </c>
    </row>
    <row r="234" spans="28:30">
      <c r="AB234" s="169">
        <v>55255.900699999998</v>
      </c>
      <c r="AC234" s="169">
        <v>-46861.23</v>
      </c>
      <c r="AD234" s="170">
        <v>1588210</v>
      </c>
    </row>
    <row r="235" spans="28:30">
      <c r="AB235" s="169">
        <v>82883.619000000006</v>
      </c>
      <c r="AC235" s="169">
        <v>-46861.23</v>
      </c>
      <c r="AD235" s="170">
        <v>871552</v>
      </c>
    </row>
    <row r="236" spans="28:30">
      <c r="AB236" s="169">
        <v>110511.492</v>
      </c>
      <c r="AC236" s="169">
        <v>-46861.23</v>
      </c>
      <c r="AD236" s="170">
        <v>454153</v>
      </c>
    </row>
    <row r="237" spans="28:30">
      <c r="AB237" s="169">
        <v>138139.36499999999</v>
      </c>
      <c r="AC237" s="169">
        <v>-46861.23</v>
      </c>
      <c r="AD237" s="170">
        <v>248695</v>
      </c>
    </row>
    <row r="238" spans="28:30">
      <c r="AB238" s="169">
        <v>165767.23800000001</v>
      </c>
      <c r="AC238" s="169">
        <v>-46861.23</v>
      </c>
      <c r="AD238" s="170">
        <v>142136</v>
      </c>
    </row>
    <row r="239" spans="28:30">
      <c r="AB239" s="169">
        <v>193395.111</v>
      </c>
      <c r="AC239" s="169">
        <v>-46861.23</v>
      </c>
      <c r="AD239" s="170">
        <v>99986</v>
      </c>
    </row>
    <row r="240" spans="28:30">
      <c r="AB240" s="169">
        <v>221022.984</v>
      </c>
      <c r="AC240" s="169">
        <v>-46861.23</v>
      </c>
      <c r="AD240" s="170">
        <v>65149.5</v>
      </c>
    </row>
    <row r="241" spans="28:30">
      <c r="AB241" s="169">
        <v>248650.85699999999</v>
      </c>
      <c r="AC241" s="169">
        <v>-46861.23</v>
      </c>
      <c r="AD241" s="170">
        <v>38998.5</v>
      </c>
    </row>
    <row r="242" spans="28:30">
      <c r="AB242" s="169">
        <v>276278.73</v>
      </c>
      <c r="AC242" s="169">
        <v>-46861.23</v>
      </c>
      <c r="AD242" s="170">
        <v>18332.7</v>
      </c>
    </row>
    <row r="243" spans="28:30">
      <c r="AB243" s="169">
        <v>303906.603</v>
      </c>
      <c r="AC243" s="169">
        <v>-46861.23</v>
      </c>
      <c r="AD243" s="170">
        <v>12639.3</v>
      </c>
    </row>
    <row r="244" spans="28:30">
      <c r="AB244" s="169">
        <v>331534.47600000002</v>
      </c>
      <c r="AC244" s="169">
        <v>-46861.23</v>
      </c>
      <c r="AD244" s="170">
        <v>3835.53</v>
      </c>
    </row>
    <row r="245" spans="28:30">
      <c r="AB245" s="169">
        <v>359162.34899999999</v>
      </c>
      <c r="AC245" s="169">
        <v>-46861.23</v>
      </c>
      <c r="AD245" s="170">
        <v>1250.8800000000001</v>
      </c>
    </row>
    <row r="246" spans="28:30">
      <c r="AB246" s="169">
        <v>386790.22200000001</v>
      </c>
      <c r="AC246" s="169">
        <v>-46861.23</v>
      </c>
      <c r="AD246" s="170">
        <v>268.82499999999999</v>
      </c>
    </row>
    <row r="247" spans="28:30">
      <c r="AB247" s="169">
        <v>414418.09499999997</v>
      </c>
      <c r="AC247" s="169">
        <v>-46861.23</v>
      </c>
      <c r="AD247" s="170">
        <v>168.63499999999999</v>
      </c>
    </row>
    <row r="248" spans="28:30">
      <c r="AB248" s="169">
        <v>442045.96799999999</v>
      </c>
      <c r="AC248" s="169">
        <v>-46861.23</v>
      </c>
      <c r="AD248" s="170">
        <v>688.16499999999996</v>
      </c>
    </row>
    <row r="249" spans="28:30">
      <c r="AB249" s="169">
        <v>469673.84100000001</v>
      </c>
      <c r="AC249" s="169">
        <v>-46861.23</v>
      </c>
      <c r="AD249" s="170">
        <v>389.38499999999999</v>
      </c>
    </row>
    <row r="250" spans="28:30">
      <c r="AB250" s="169">
        <v>497301.71399999998</v>
      </c>
      <c r="AC250" s="169">
        <v>-46861.23</v>
      </c>
      <c r="AD250" s="170">
        <v>337.46</v>
      </c>
    </row>
    <row r="251" spans="28:30">
      <c r="AB251" s="169">
        <v>524929.58700000006</v>
      </c>
      <c r="AC251" s="169">
        <v>-46861.23</v>
      </c>
      <c r="AD251" s="170">
        <v>17.864999999999998</v>
      </c>
    </row>
    <row r="252" spans="28:30">
      <c r="AB252" s="169">
        <v>552557.46</v>
      </c>
      <c r="AC252" s="169">
        <v>-46861.23</v>
      </c>
      <c r="AD252" s="170">
        <v>315.31</v>
      </c>
    </row>
    <row r="253" spans="28:30">
      <c r="AB253" s="169">
        <v>580185.33299999998</v>
      </c>
      <c r="AC253" s="169">
        <v>-46861.23</v>
      </c>
      <c r="AD253" s="170">
        <v>9.7449999999999992</v>
      </c>
    </row>
    <row r="254" spans="28:30">
      <c r="AB254" s="169">
        <v>607813.20600000001</v>
      </c>
      <c r="AC254" s="169">
        <v>-46861.23</v>
      </c>
      <c r="AD254" s="170">
        <v>11.475</v>
      </c>
    </row>
    <row r="255" spans="28:30">
      <c r="AB255" s="169">
        <v>635441.07900000003</v>
      </c>
      <c r="AC255" s="169">
        <v>-46861.23</v>
      </c>
      <c r="AD255" s="170">
        <v>0.33500000000000002</v>
      </c>
    </row>
    <row r="256" spans="28:30">
      <c r="AB256" s="169">
        <v>663068.95200000005</v>
      </c>
      <c r="AC256" s="169">
        <v>-46861.23</v>
      </c>
      <c r="AD256" s="170">
        <v>1.99</v>
      </c>
    </row>
    <row r="257" spans="28:30">
      <c r="AB257" s="169">
        <v>690696.82499999995</v>
      </c>
      <c r="AC257" s="169">
        <v>-46861.23</v>
      </c>
      <c r="AD257" s="170">
        <v>0.6</v>
      </c>
    </row>
    <row r="258" spans="28:30">
      <c r="AB258" s="169">
        <v>718324.69799999997</v>
      </c>
      <c r="AC258" s="169">
        <v>-46861.23</v>
      </c>
      <c r="AD258" s="170">
        <v>0.42</v>
      </c>
    </row>
    <row r="259" spans="28:30">
      <c r="AB259" s="169">
        <v>884091.93599999999</v>
      </c>
      <c r="AC259" s="169">
        <v>-46861.23</v>
      </c>
      <c r="AD259" s="170">
        <v>0.01</v>
      </c>
    </row>
    <row r="260" spans="28:30">
      <c r="AB260" s="169">
        <v>911718.26199999999</v>
      </c>
      <c r="AC260" s="169">
        <v>-46861.23</v>
      </c>
      <c r="AD260" s="170">
        <v>2.5000000000000001E-2</v>
      </c>
    </row>
    <row r="261" spans="28:30">
      <c r="AB261" s="169">
        <v>939346.13500000001</v>
      </c>
      <c r="AC261" s="169">
        <v>-46861.23</v>
      </c>
      <c r="AD261" s="170">
        <v>0.03</v>
      </c>
    </row>
    <row r="262" spans="28:30">
      <c r="AB262" s="169">
        <v>994601.88100000005</v>
      </c>
      <c r="AC262" s="169">
        <v>-46861.23</v>
      </c>
      <c r="AD262" s="170">
        <v>0.1</v>
      </c>
    </row>
    <row r="263" spans="28:30">
      <c r="AB263" s="169">
        <v>1077485.5</v>
      </c>
      <c r="AC263" s="169">
        <v>-46861.23</v>
      </c>
      <c r="AD263" s="170">
        <v>0.1</v>
      </c>
    </row>
    <row r="264" spans="28:30">
      <c r="AB264" s="169">
        <v>0.1330700007</v>
      </c>
      <c r="AC264" s="169">
        <v>-25546.560000000001</v>
      </c>
      <c r="AD264" s="170">
        <v>30648900</v>
      </c>
    </row>
    <row r="265" spans="28:30">
      <c r="AB265" s="169">
        <v>27628.027699999999</v>
      </c>
      <c r="AC265" s="169">
        <v>-25546.560000000001</v>
      </c>
      <c r="AD265" s="170">
        <v>6945430</v>
      </c>
    </row>
    <row r="266" spans="28:30">
      <c r="AB266" s="169">
        <v>55255.900699999998</v>
      </c>
      <c r="AC266" s="169">
        <v>-25546.560000000001</v>
      </c>
      <c r="AD266" s="170">
        <v>2473180</v>
      </c>
    </row>
    <row r="267" spans="28:30">
      <c r="AB267" s="169">
        <v>82883.619000000006</v>
      </c>
      <c r="AC267" s="169">
        <v>-25546.560000000001</v>
      </c>
      <c r="AD267" s="170">
        <v>995771</v>
      </c>
    </row>
    <row r="268" spans="28:30">
      <c r="AB268" s="169">
        <v>110511.492</v>
      </c>
      <c r="AC268" s="169">
        <v>-25546.560000000001</v>
      </c>
      <c r="AD268" s="170">
        <v>430868</v>
      </c>
    </row>
    <row r="269" spans="28:30">
      <c r="AB269" s="169">
        <v>138139.36499999999</v>
      </c>
      <c r="AC269" s="169">
        <v>-25546.560000000001</v>
      </c>
      <c r="AD269" s="170">
        <v>213087</v>
      </c>
    </row>
    <row r="270" spans="28:30">
      <c r="AB270" s="169">
        <v>165767.23800000001</v>
      </c>
      <c r="AC270" s="169">
        <v>-25546.560000000001</v>
      </c>
      <c r="AD270" s="170">
        <v>111008</v>
      </c>
    </row>
    <row r="271" spans="28:30">
      <c r="AB271" s="169">
        <v>193395.111</v>
      </c>
      <c r="AC271" s="169">
        <v>-25546.560000000001</v>
      </c>
      <c r="AD271" s="170">
        <v>51615.6</v>
      </c>
    </row>
    <row r="272" spans="28:30">
      <c r="AB272" s="169">
        <v>221022.984</v>
      </c>
      <c r="AC272" s="169">
        <v>-25546.560000000001</v>
      </c>
      <c r="AD272" s="170">
        <v>30136.1</v>
      </c>
    </row>
    <row r="273" spans="28:30">
      <c r="AB273" s="169">
        <v>248650.85699999999</v>
      </c>
      <c r="AC273" s="169">
        <v>-25546.560000000001</v>
      </c>
      <c r="AD273" s="170">
        <v>19177</v>
      </c>
    </row>
    <row r="274" spans="28:30">
      <c r="AB274" s="169">
        <v>276278.73</v>
      </c>
      <c r="AC274" s="169">
        <v>-25546.560000000001</v>
      </c>
      <c r="AD274" s="170">
        <v>12647</v>
      </c>
    </row>
    <row r="275" spans="28:30">
      <c r="AB275" s="169">
        <v>303906.603</v>
      </c>
      <c r="AC275" s="169">
        <v>-25546.560000000001</v>
      </c>
      <c r="AD275" s="170">
        <v>8525.43</v>
      </c>
    </row>
    <row r="276" spans="28:30">
      <c r="AB276" s="169">
        <v>331534.47600000002</v>
      </c>
      <c r="AC276" s="169">
        <v>-25546.560000000001</v>
      </c>
      <c r="AD276" s="170">
        <v>3554.82</v>
      </c>
    </row>
    <row r="277" spans="28:30">
      <c r="AB277" s="169">
        <v>359162.34899999999</v>
      </c>
      <c r="AC277" s="169">
        <v>-25546.560000000001</v>
      </c>
      <c r="AD277" s="170">
        <v>2881.24</v>
      </c>
    </row>
    <row r="278" spans="28:30">
      <c r="AB278" s="169">
        <v>386790.22200000001</v>
      </c>
      <c r="AC278" s="169">
        <v>-25546.560000000001</v>
      </c>
      <c r="AD278" s="170">
        <v>2234.9</v>
      </c>
    </row>
    <row r="279" spans="28:30">
      <c r="AB279" s="169">
        <v>414418.09499999997</v>
      </c>
      <c r="AC279" s="169">
        <v>-25546.560000000001</v>
      </c>
      <c r="AD279" s="170">
        <v>1079.32</v>
      </c>
    </row>
    <row r="280" spans="28:30">
      <c r="AB280" s="169">
        <v>442045.96799999999</v>
      </c>
      <c r="AC280" s="169">
        <v>-25546.560000000001</v>
      </c>
      <c r="AD280" s="170">
        <v>431.935</v>
      </c>
    </row>
    <row r="281" spans="28:30">
      <c r="AB281" s="169">
        <v>469673.84100000001</v>
      </c>
      <c r="AC281" s="169">
        <v>-25546.560000000001</v>
      </c>
      <c r="AD281" s="170">
        <v>381.38</v>
      </c>
    </row>
    <row r="282" spans="28:30">
      <c r="AB282" s="169">
        <v>497301.71399999998</v>
      </c>
      <c r="AC282" s="169">
        <v>-25546.560000000001</v>
      </c>
      <c r="AD282" s="170">
        <v>316.61500000000001</v>
      </c>
    </row>
    <row r="283" spans="28:30">
      <c r="AB283" s="169">
        <v>524929.58700000006</v>
      </c>
      <c r="AC283" s="169">
        <v>-25546.560000000001</v>
      </c>
      <c r="AD283" s="170">
        <v>506.88</v>
      </c>
    </row>
    <row r="284" spans="28:30">
      <c r="AB284" s="169">
        <v>552557.46</v>
      </c>
      <c r="AC284" s="169">
        <v>-25546.560000000001</v>
      </c>
      <c r="AD284" s="170">
        <v>135.97</v>
      </c>
    </row>
    <row r="285" spans="28:30">
      <c r="AB285" s="169">
        <v>580185.33299999998</v>
      </c>
      <c r="AC285" s="169">
        <v>-25546.560000000001</v>
      </c>
      <c r="AD285" s="170">
        <v>77.61</v>
      </c>
    </row>
    <row r="286" spans="28:30">
      <c r="AB286" s="169">
        <v>607813.20600000001</v>
      </c>
      <c r="AC286" s="169">
        <v>-25546.560000000001</v>
      </c>
      <c r="AD286" s="170">
        <v>78.974999999999994</v>
      </c>
    </row>
    <row r="287" spans="28:30">
      <c r="AB287" s="169">
        <v>635441.07900000003</v>
      </c>
      <c r="AC287" s="169">
        <v>-25546.560000000001</v>
      </c>
      <c r="AD287" s="170">
        <v>61.42</v>
      </c>
    </row>
    <row r="288" spans="28:30">
      <c r="AB288" s="169">
        <v>663068.95200000005</v>
      </c>
      <c r="AC288" s="169">
        <v>-25546.560000000001</v>
      </c>
      <c r="AD288" s="170">
        <v>22.3</v>
      </c>
    </row>
    <row r="289" spans="28:30">
      <c r="AB289" s="169">
        <v>690696.82499999995</v>
      </c>
      <c r="AC289" s="169">
        <v>-25546.560000000001</v>
      </c>
      <c r="AD289" s="170">
        <v>29.864999999999998</v>
      </c>
    </row>
    <row r="290" spans="28:30">
      <c r="AB290" s="169">
        <v>718324.69799999997</v>
      </c>
      <c r="AC290" s="169">
        <v>-25546.560000000001</v>
      </c>
      <c r="AD290" s="170">
        <v>18.62</v>
      </c>
    </row>
    <row r="291" spans="28:30">
      <c r="AB291" s="169">
        <v>745952.571</v>
      </c>
      <c r="AC291" s="169">
        <v>-25546.560000000001</v>
      </c>
      <c r="AD291" s="170">
        <v>12.55</v>
      </c>
    </row>
    <row r="292" spans="28:30">
      <c r="AB292" s="169">
        <v>773580.44400000002</v>
      </c>
      <c r="AC292" s="169">
        <v>-25546.560000000001</v>
      </c>
      <c r="AD292" s="170">
        <v>7.66</v>
      </c>
    </row>
    <row r="293" spans="28:30">
      <c r="AB293" s="169">
        <v>801208.31700000004</v>
      </c>
      <c r="AC293" s="169">
        <v>-25546.560000000001</v>
      </c>
      <c r="AD293" s="170">
        <v>9.3949999999999996</v>
      </c>
    </row>
    <row r="294" spans="28:30">
      <c r="AB294" s="169">
        <v>828836.19</v>
      </c>
      <c r="AC294" s="169">
        <v>-25546.560000000001</v>
      </c>
      <c r="AD294" s="170">
        <v>1.97</v>
      </c>
    </row>
    <row r="295" spans="28:30">
      <c r="AB295" s="169">
        <v>856464.06299999997</v>
      </c>
      <c r="AC295" s="169">
        <v>-25546.560000000001</v>
      </c>
      <c r="AD295" s="170">
        <v>1.9750000000000001</v>
      </c>
    </row>
    <row r="296" spans="28:30">
      <c r="AB296" s="169">
        <v>884091.93599999999</v>
      </c>
      <c r="AC296" s="169">
        <v>-25546.560000000001</v>
      </c>
      <c r="AD296" s="170">
        <v>1.64</v>
      </c>
    </row>
    <row r="297" spans="28:30">
      <c r="AB297" s="169">
        <v>911718.26199999999</v>
      </c>
      <c r="AC297" s="169">
        <v>-25546.560000000001</v>
      </c>
      <c r="AD297" s="170">
        <v>2.1549999999999998</v>
      </c>
    </row>
    <row r="298" spans="28:30">
      <c r="AB298" s="169">
        <v>939346.13500000001</v>
      </c>
      <c r="AC298" s="169">
        <v>-25546.560000000001</v>
      </c>
      <c r="AD298" s="170">
        <v>0.32500000000000001</v>
      </c>
    </row>
    <row r="299" spans="28:30">
      <c r="AB299" s="169">
        <v>966974.00800000003</v>
      </c>
      <c r="AC299" s="169">
        <v>-25546.560000000001</v>
      </c>
      <c r="AD299" s="170">
        <v>0.375</v>
      </c>
    </row>
    <row r="300" spans="28:30">
      <c r="AB300" s="169">
        <v>994601.88100000005</v>
      </c>
      <c r="AC300" s="169">
        <v>-25546.560000000001</v>
      </c>
      <c r="AD300" s="170">
        <v>0.1</v>
      </c>
    </row>
    <row r="301" spans="28:30">
      <c r="AB301" s="169">
        <v>1022229.754</v>
      </c>
      <c r="AC301" s="169">
        <v>-25546.560000000001</v>
      </c>
      <c r="AD301" s="170">
        <v>0.46500000000000002</v>
      </c>
    </row>
    <row r="302" spans="28:30">
      <c r="AB302" s="169">
        <v>1049857.6270000001</v>
      </c>
      <c r="AC302" s="169">
        <v>-25546.560000000001</v>
      </c>
      <c r="AD302" s="170">
        <v>0.13500000000000001</v>
      </c>
    </row>
    <row r="303" spans="28:30">
      <c r="AB303" s="169">
        <v>1077485.5</v>
      </c>
      <c r="AC303" s="169">
        <v>-25546.560000000001</v>
      </c>
      <c r="AD303" s="170">
        <v>0.27500000000000002</v>
      </c>
    </row>
    <row r="304" spans="28:30">
      <c r="AB304" s="169">
        <v>1105113.3729999999</v>
      </c>
      <c r="AC304" s="169">
        <v>-25546.560000000001</v>
      </c>
      <c r="AD304" s="170">
        <v>0.17499999999999999</v>
      </c>
    </row>
    <row r="305" spans="28:30">
      <c r="AB305" s="169">
        <v>1132741.246</v>
      </c>
      <c r="AC305" s="169">
        <v>-25546.560000000001</v>
      </c>
      <c r="AD305" s="170">
        <v>0.155</v>
      </c>
    </row>
    <row r="306" spans="28:30">
      <c r="AB306" s="169">
        <v>1160369.1189999999</v>
      </c>
      <c r="AC306" s="169">
        <v>-25546.560000000001</v>
      </c>
      <c r="AD306" s="170">
        <v>5.0000000000000001E-3</v>
      </c>
    </row>
    <row r="307" spans="28:30">
      <c r="AB307" s="169">
        <v>1187996.9920000001</v>
      </c>
      <c r="AC307" s="169">
        <v>-25546.560000000001</v>
      </c>
      <c r="AD307" s="170">
        <v>0.1</v>
      </c>
    </row>
    <row r="308" spans="28:30">
      <c r="AB308" s="169">
        <v>1215624.865</v>
      </c>
      <c r="AC308" s="169">
        <v>-25546.560000000001</v>
      </c>
      <c r="AD308" s="170">
        <v>7.0000000000000007E-2</v>
      </c>
    </row>
    <row r="309" spans="28:30">
      <c r="AB309" s="169">
        <v>1243252.7379999999</v>
      </c>
      <c r="AC309" s="169">
        <v>-25546.560000000001</v>
      </c>
      <c r="AD309" s="170">
        <v>0.2</v>
      </c>
    </row>
    <row r="310" spans="28:30">
      <c r="AB310" s="169">
        <v>1270880.611</v>
      </c>
      <c r="AC310" s="169">
        <v>-25546.560000000001</v>
      </c>
      <c r="AD310" s="170">
        <v>0.1</v>
      </c>
    </row>
    <row r="311" spans="28:30">
      <c r="AB311" s="169">
        <v>1298508.4839999999</v>
      </c>
      <c r="AC311" s="169">
        <v>-25546.560000000001</v>
      </c>
      <c r="AD311" s="170">
        <v>0.1</v>
      </c>
    </row>
    <row r="312" spans="28:30">
      <c r="AB312" s="169">
        <v>1326136.3570000001</v>
      </c>
      <c r="AC312" s="169">
        <v>-25546.560000000001</v>
      </c>
      <c r="AD312" s="170">
        <v>0.125</v>
      </c>
    </row>
    <row r="313" spans="28:30">
      <c r="AB313" s="169">
        <v>0.1330700007</v>
      </c>
      <c r="AC313" s="169">
        <v>-4231.942</v>
      </c>
      <c r="AD313" s="170">
        <v>46041800</v>
      </c>
    </row>
    <row r="314" spans="28:30">
      <c r="AB314" s="169">
        <v>27628.027699999999</v>
      </c>
      <c r="AC314" s="169">
        <v>-4231.942</v>
      </c>
      <c r="AD314" s="170">
        <v>6236440</v>
      </c>
    </row>
    <row r="315" spans="28:30">
      <c r="AB315" s="169">
        <v>55255.900699999998</v>
      </c>
      <c r="AC315" s="169">
        <v>-4231.942</v>
      </c>
      <c r="AD315" s="170">
        <v>2302250</v>
      </c>
    </row>
    <row r="316" spans="28:30">
      <c r="AB316" s="169">
        <v>82883.619000000006</v>
      </c>
      <c r="AC316" s="169">
        <v>-4231.942</v>
      </c>
      <c r="AD316" s="170">
        <v>923905</v>
      </c>
    </row>
    <row r="317" spans="28:30">
      <c r="AB317" s="169">
        <v>110511.492</v>
      </c>
      <c r="AC317" s="169">
        <v>-4231.942</v>
      </c>
      <c r="AD317" s="170">
        <v>366681</v>
      </c>
    </row>
    <row r="318" spans="28:30">
      <c r="AB318" s="169">
        <v>138139.36499999999</v>
      </c>
      <c r="AC318" s="169">
        <v>-4231.942</v>
      </c>
      <c r="AD318" s="170">
        <v>164273</v>
      </c>
    </row>
    <row r="319" spans="28:30">
      <c r="AB319" s="169">
        <v>165767.23800000001</v>
      </c>
      <c r="AC319" s="169">
        <v>-4231.942</v>
      </c>
      <c r="AD319" s="170">
        <v>71141.5</v>
      </c>
    </row>
    <row r="320" spans="28:30">
      <c r="AB320" s="169">
        <v>193395.111</v>
      </c>
      <c r="AC320" s="169">
        <v>-4231.942</v>
      </c>
      <c r="AD320" s="170">
        <v>31134.1</v>
      </c>
    </row>
    <row r="321" spans="28:30">
      <c r="AB321" s="169">
        <v>221022.984</v>
      </c>
      <c r="AC321" s="169">
        <v>-4231.942</v>
      </c>
      <c r="AD321" s="170">
        <v>19883.099999999999</v>
      </c>
    </row>
    <row r="322" spans="28:30">
      <c r="AB322" s="169">
        <v>248650.85699999999</v>
      </c>
      <c r="AC322" s="169">
        <v>-4231.942</v>
      </c>
      <c r="AD322" s="170">
        <v>14090.7</v>
      </c>
    </row>
    <row r="323" spans="28:30">
      <c r="AB323" s="169">
        <v>276278.73</v>
      </c>
      <c r="AC323" s="169">
        <v>-4231.942</v>
      </c>
      <c r="AD323" s="170">
        <v>9431.65</v>
      </c>
    </row>
    <row r="324" spans="28:30">
      <c r="AB324" s="169">
        <v>303906.603</v>
      </c>
      <c r="AC324" s="169">
        <v>-4231.942</v>
      </c>
      <c r="AD324" s="170">
        <v>5891.55</v>
      </c>
    </row>
    <row r="325" spans="28:30">
      <c r="AB325" s="169">
        <v>331534.47600000002</v>
      </c>
      <c r="AC325" s="169">
        <v>-4231.942</v>
      </c>
      <c r="AD325" s="170">
        <v>4118.96</v>
      </c>
    </row>
    <row r="326" spans="28:30">
      <c r="AB326" s="169">
        <v>359162.34899999999</v>
      </c>
      <c r="AC326" s="169">
        <v>-4231.942</v>
      </c>
      <c r="AD326" s="170">
        <v>2670.47</v>
      </c>
    </row>
    <row r="327" spans="28:30">
      <c r="AB327" s="169">
        <v>386790.22200000001</v>
      </c>
      <c r="AC327" s="169">
        <v>-4231.942</v>
      </c>
      <c r="AD327" s="170">
        <v>2812.91</v>
      </c>
    </row>
    <row r="328" spans="28:30">
      <c r="AB328" s="169">
        <v>414418.09499999997</v>
      </c>
      <c r="AC328" s="169">
        <v>-4231.942</v>
      </c>
      <c r="AD328" s="170">
        <v>2130.63</v>
      </c>
    </row>
    <row r="329" spans="28:30">
      <c r="AB329" s="169">
        <v>442045.96799999999</v>
      </c>
      <c r="AC329" s="169">
        <v>-4231.942</v>
      </c>
      <c r="AD329" s="170">
        <v>1035</v>
      </c>
    </row>
    <row r="330" spans="28:30">
      <c r="AB330" s="169">
        <v>469673.84100000001</v>
      </c>
      <c r="AC330" s="169">
        <v>-4231.942</v>
      </c>
      <c r="AD330" s="170">
        <v>854.52499999999998</v>
      </c>
    </row>
    <row r="331" spans="28:30">
      <c r="AB331" s="169">
        <v>497301.71399999998</v>
      </c>
      <c r="AC331" s="169">
        <v>-4231.942</v>
      </c>
      <c r="AD331" s="170">
        <v>617.42499999999995</v>
      </c>
    </row>
    <row r="332" spans="28:30">
      <c r="AB332" s="169">
        <v>524929.58700000006</v>
      </c>
      <c r="AC332" s="169">
        <v>-4231.942</v>
      </c>
      <c r="AD332" s="170">
        <v>551.81500000000005</v>
      </c>
    </row>
    <row r="333" spans="28:30">
      <c r="AB333" s="169">
        <v>552557.46</v>
      </c>
      <c r="AC333" s="169">
        <v>-4231.942</v>
      </c>
      <c r="AD333" s="170">
        <v>428.40499999999997</v>
      </c>
    </row>
    <row r="334" spans="28:30">
      <c r="AB334" s="169">
        <v>580185.33299999998</v>
      </c>
      <c r="AC334" s="169">
        <v>-4231.942</v>
      </c>
      <c r="AD334" s="170">
        <v>309.97000000000003</v>
      </c>
    </row>
    <row r="335" spans="28:30">
      <c r="AB335" s="169">
        <v>607813.20600000001</v>
      </c>
      <c r="AC335" s="169">
        <v>-4231.942</v>
      </c>
      <c r="AD335" s="170">
        <v>180.125</v>
      </c>
    </row>
    <row r="336" spans="28:30">
      <c r="AB336" s="169">
        <v>635441.07900000003</v>
      </c>
      <c r="AC336" s="169">
        <v>-4231.942</v>
      </c>
      <c r="AD336" s="170">
        <v>122.51</v>
      </c>
    </row>
    <row r="337" spans="28:30">
      <c r="AB337" s="169">
        <v>663068.95200000005</v>
      </c>
      <c r="AC337" s="169">
        <v>-4231.942</v>
      </c>
      <c r="AD337" s="170">
        <v>88.07</v>
      </c>
    </row>
    <row r="338" spans="28:30">
      <c r="AB338" s="169">
        <v>690696.82499999995</v>
      </c>
      <c r="AC338" s="169">
        <v>-4231.942</v>
      </c>
      <c r="AD338" s="170">
        <v>66.010000000000005</v>
      </c>
    </row>
    <row r="339" spans="28:30">
      <c r="AB339" s="169">
        <v>718324.69799999997</v>
      </c>
      <c r="AC339" s="169">
        <v>-4231.942</v>
      </c>
      <c r="AD339" s="170">
        <v>45.33</v>
      </c>
    </row>
    <row r="340" spans="28:30">
      <c r="AB340" s="169">
        <v>745952.571</v>
      </c>
      <c r="AC340" s="169">
        <v>-4231.942</v>
      </c>
      <c r="AD340" s="170">
        <v>34.340000000000003</v>
      </c>
    </row>
    <row r="341" spans="28:30">
      <c r="AB341" s="169">
        <v>773580.44400000002</v>
      </c>
      <c r="AC341" s="169">
        <v>-4231.942</v>
      </c>
      <c r="AD341" s="170">
        <v>22.945</v>
      </c>
    </row>
    <row r="342" spans="28:30">
      <c r="AB342" s="169">
        <v>801208.31700000004</v>
      </c>
      <c r="AC342" s="169">
        <v>-4231.942</v>
      </c>
      <c r="AD342" s="170">
        <v>20.51</v>
      </c>
    </row>
    <row r="343" spans="28:30">
      <c r="AB343" s="169">
        <v>828836.19</v>
      </c>
      <c r="AC343" s="169">
        <v>-4231.942</v>
      </c>
      <c r="AD343" s="170">
        <v>17.7</v>
      </c>
    </row>
    <row r="344" spans="28:30">
      <c r="AB344" s="169">
        <v>856464.06299999997</v>
      </c>
      <c r="AC344" s="169">
        <v>-4231.942</v>
      </c>
      <c r="AD344" s="170">
        <v>8.6199999999999992</v>
      </c>
    </row>
    <row r="345" spans="28:30">
      <c r="AB345" s="169">
        <v>884091.93599999999</v>
      </c>
      <c r="AC345" s="169">
        <v>-4231.942</v>
      </c>
      <c r="AD345" s="170">
        <v>6.46</v>
      </c>
    </row>
    <row r="346" spans="28:30">
      <c r="AB346" s="169">
        <v>911718.26199999999</v>
      </c>
      <c r="AC346" s="169">
        <v>-4231.942</v>
      </c>
      <c r="AD346" s="170">
        <v>2.2999999999999998</v>
      </c>
    </row>
    <row r="347" spans="28:30">
      <c r="AB347" s="169">
        <v>939346.13500000001</v>
      </c>
      <c r="AC347" s="169">
        <v>-4231.942</v>
      </c>
      <c r="AD347" s="170">
        <v>1.625</v>
      </c>
    </row>
    <row r="348" spans="28:30">
      <c r="AB348" s="169">
        <v>966974.00800000003</v>
      </c>
      <c r="AC348" s="169">
        <v>-4231.942</v>
      </c>
      <c r="AD348" s="170">
        <v>4.5199999999999996</v>
      </c>
    </row>
    <row r="349" spans="28:30">
      <c r="AB349" s="169">
        <v>994601.88100000005</v>
      </c>
      <c r="AC349" s="169">
        <v>-4231.942</v>
      </c>
      <c r="AD349" s="170">
        <v>1.9350000000000001</v>
      </c>
    </row>
    <row r="350" spans="28:30">
      <c r="AB350" s="169">
        <v>1022229.754</v>
      </c>
      <c r="AC350" s="169">
        <v>-4231.942</v>
      </c>
      <c r="AD350" s="170">
        <v>0.93</v>
      </c>
    </row>
    <row r="351" spans="28:30">
      <c r="AB351" s="169">
        <v>1049857.6270000001</v>
      </c>
      <c r="AC351" s="169">
        <v>-4231.942</v>
      </c>
      <c r="AD351" s="170">
        <v>0.85499999999999998</v>
      </c>
    </row>
    <row r="352" spans="28:30">
      <c r="AB352" s="169">
        <v>1077485.5</v>
      </c>
      <c r="AC352" s="169">
        <v>-4231.942</v>
      </c>
      <c r="AD352" s="170">
        <v>0.87</v>
      </c>
    </row>
    <row r="353" spans="28:30">
      <c r="AB353" s="169">
        <v>1105113.3729999999</v>
      </c>
      <c r="AC353" s="169">
        <v>-4231.942</v>
      </c>
      <c r="AD353" s="170">
        <v>0.38500000000000001</v>
      </c>
    </row>
    <row r="354" spans="28:30">
      <c r="AB354" s="169">
        <v>1132741.246</v>
      </c>
      <c r="AC354" s="169">
        <v>-4231.942</v>
      </c>
      <c r="AD354" s="170">
        <v>0.60499999999999998</v>
      </c>
    </row>
    <row r="355" spans="28:30">
      <c r="AB355" s="169">
        <v>1160369.1189999999</v>
      </c>
      <c r="AC355" s="169">
        <v>-4231.942</v>
      </c>
      <c r="AD355" s="170">
        <v>1.18</v>
      </c>
    </row>
    <row r="356" spans="28:30">
      <c r="AB356" s="169">
        <v>1187996.9920000001</v>
      </c>
      <c r="AC356" s="169">
        <v>-4231.942</v>
      </c>
      <c r="AD356" s="170">
        <v>0.41499999999999998</v>
      </c>
    </row>
    <row r="357" spans="28:30">
      <c r="AB357" s="169">
        <v>1215624.865</v>
      </c>
      <c r="AC357" s="169">
        <v>-4231.942</v>
      </c>
      <c r="AD357" s="170">
        <v>0.32</v>
      </c>
    </row>
    <row r="358" spans="28:30">
      <c r="AB358" s="169">
        <v>1243252.7379999999</v>
      </c>
      <c r="AC358" s="169">
        <v>-4231.942</v>
      </c>
      <c r="AD358" s="170">
        <v>0.11</v>
      </c>
    </row>
    <row r="359" spans="28:30">
      <c r="AB359" s="169">
        <v>1270880.611</v>
      </c>
      <c r="AC359" s="169">
        <v>-4231.942</v>
      </c>
      <c r="AD359" s="170">
        <v>0.11</v>
      </c>
    </row>
    <row r="360" spans="28:30">
      <c r="AB360" s="169">
        <v>1298508.4839999999</v>
      </c>
      <c r="AC360" s="169">
        <v>-4231.942</v>
      </c>
      <c r="AD360" s="170">
        <v>0.22500000000000001</v>
      </c>
    </row>
    <row r="361" spans="28:30">
      <c r="AB361" s="169">
        <v>1326136.3570000001</v>
      </c>
      <c r="AC361" s="169">
        <v>-4231.942</v>
      </c>
      <c r="AD361" s="170">
        <v>0.125</v>
      </c>
    </row>
    <row r="362" spans="28:30">
      <c r="AB362" s="169">
        <v>1353764.23</v>
      </c>
      <c r="AC362" s="169">
        <v>-4231.942</v>
      </c>
      <c r="AD362" s="170">
        <v>0.1</v>
      </c>
    </row>
    <row r="363" spans="28:30">
      <c r="AB363" s="169">
        <v>1381392.1029999999</v>
      </c>
      <c r="AC363" s="169">
        <v>-4231.942</v>
      </c>
      <c r="AD363" s="170">
        <v>0.05</v>
      </c>
    </row>
    <row r="364" spans="28:30">
      <c r="AB364" s="169">
        <v>0.1330700007</v>
      </c>
      <c r="AC364" s="169">
        <v>17082.78</v>
      </c>
      <c r="AD364" s="170">
        <v>44516900</v>
      </c>
    </row>
    <row r="365" spans="28:30">
      <c r="AB365" s="169">
        <v>27628.027699999999</v>
      </c>
      <c r="AC365" s="169">
        <v>17082.78</v>
      </c>
      <c r="AD365" s="170">
        <v>5726790</v>
      </c>
    </row>
    <row r="366" spans="28:30">
      <c r="AB366" s="169">
        <v>55255.900699999998</v>
      </c>
      <c r="AC366" s="169">
        <v>17082.78</v>
      </c>
      <c r="AD366" s="170">
        <v>2292780</v>
      </c>
    </row>
    <row r="367" spans="28:30">
      <c r="AB367" s="169">
        <v>82883.619000000006</v>
      </c>
      <c r="AC367" s="169">
        <v>17082.78</v>
      </c>
      <c r="AD367" s="170">
        <v>1018800</v>
      </c>
    </row>
    <row r="368" spans="28:30">
      <c r="AB368" s="169">
        <v>110511.492</v>
      </c>
      <c r="AC368" s="169">
        <v>17082.78</v>
      </c>
      <c r="AD368" s="170">
        <v>496361</v>
      </c>
    </row>
    <row r="369" spans="28:30">
      <c r="AB369" s="169">
        <v>138139.36499999999</v>
      </c>
      <c r="AC369" s="169">
        <v>17082.78</v>
      </c>
      <c r="AD369" s="170">
        <v>250378</v>
      </c>
    </row>
    <row r="370" spans="28:30">
      <c r="AB370" s="169">
        <v>165767.23800000001</v>
      </c>
      <c r="AC370" s="169">
        <v>17082.78</v>
      </c>
      <c r="AD370" s="170">
        <v>129445</v>
      </c>
    </row>
    <row r="371" spans="28:30">
      <c r="AB371" s="169">
        <v>193395.111</v>
      </c>
      <c r="AC371" s="169">
        <v>17082.78</v>
      </c>
      <c r="AD371" s="170">
        <v>91542.1</v>
      </c>
    </row>
    <row r="372" spans="28:30">
      <c r="AB372" s="169">
        <v>221022.984</v>
      </c>
      <c r="AC372" s="169">
        <v>17082.78</v>
      </c>
      <c r="AD372" s="170">
        <v>62129.5</v>
      </c>
    </row>
    <row r="373" spans="28:30">
      <c r="AB373" s="169">
        <v>248650.85699999999</v>
      </c>
      <c r="AC373" s="169">
        <v>17082.78</v>
      </c>
      <c r="AD373" s="170">
        <v>45865.4</v>
      </c>
    </row>
    <row r="374" spans="28:30">
      <c r="AB374" s="169">
        <v>276278.73</v>
      </c>
      <c r="AC374" s="169">
        <v>17082.78</v>
      </c>
      <c r="AD374" s="170">
        <v>32068.2</v>
      </c>
    </row>
    <row r="375" spans="28:30">
      <c r="AB375" s="169">
        <v>303906.603</v>
      </c>
      <c r="AC375" s="169">
        <v>17082.78</v>
      </c>
      <c r="AD375" s="170">
        <v>25712.9</v>
      </c>
    </row>
    <row r="376" spans="28:30">
      <c r="AB376" s="169">
        <v>331534.47600000002</v>
      </c>
      <c r="AC376" s="169">
        <v>17082.78</v>
      </c>
      <c r="AD376" s="170">
        <v>18668.099999999999</v>
      </c>
    </row>
    <row r="377" spans="28:30">
      <c r="AB377" s="169">
        <v>359162.34899999999</v>
      </c>
      <c r="AC377" s="169">
        <v>17082.78</v>
      </c>
      <c r="AD377" s="170">
        <v>12909.7</v>
      </c>
    </row>
    <row r="378" spans="28:30">
      <c r="AB378" s="169">
        <v>386790.22200000001</v>
      </c>
      <c r="AC378" s="169">
        <v>17082.78</v>
      </c>
      <c r="AD378" s="170">
        <v>9705.42</v>
      </c>
    </row>
    <row r="379" spans="28:30">
      <c r="AB379" s="169">
        <v>414418.09499999997</v>
      </c>
      <c r="AC379" s="169">
        <v>17082.78</v>
      </c>
      <c r="AD379" s="170">
        <v>6275.89</v>
      </c>
    </row>
    <row r="380" spans="28:30">
      <c r="AB380" s="169">
        <v>442045.96799999999</v>
      </c>
      <c r="AC380" s="169">
        <v>17082.78</v>
      </c>
      <c r="AD380" s="170">
        <v>4191.3100000000004</v>
      </c>
    </row>
    <row r="381" spans="28:30">
      <c r="AB381" s="169">
        <v>469673.84100000001</v>
      </c>
      <c r="AC381" s="169">
        <v>17082.78</v>
      </c>
      <c r="AD381" s="170">
        <v>2963.11</v>
      </c>
    </row>
    <row r="382" spans="28:30">
      <c r="AB382" s="169">
        <v>497301.71399999998</v>
      </c>
      <c r="AC382" s="169">
        <v>17082.78</v>
      </c>
      <c r="AD382" s="170">
        <v>2125.96</v>
      </c>
    </row>
    <row r="383" spans="28:30">
      <c r="AB383" s="169">
        <v>524929.58700000006</v>
      </c>
      <c r="AC383" s="169">
        <v>17082.78</v>
      </c>
      <c r="AD383" s="170">
        <v>1565.62</v>
      </c>
    </row>
    <row r="384" spans="28:30">
      <c r="AB384" s="169">
        <v>552557.46</v>
      </c>
      <c r="AC384" s="169">
        <v>17082.78</v>
      </c>
      <c r="AD384" s="170">
        <v>1014.58</v>
      </c>
    </row>
    <row r="385" spans="28:30">
      <c r="AB385" s="169">
        <v>580185.33299999998</v>
      </c>
      <c r="AC385" s="169">
        <v>17082.78</v>
      </c>
      <c r="AD385" s="170">
        <v>670.20500000000004</v>
      </c>
    </row>
    <row r="386" spans="28:30">
      <c r="AB386" s="169">
        <v>607813.20600000001</v>
      </c>
      <c r="AC386" s="169">
        <v>17082.78</v>
      </c>
      <c r="AD386" s="170">
        <v>495.33</v>
      </c>
    </row>
    <row r="387" spans="28:30">
      <c r="AB387" s="169">
        <v>635441.07900000003</v>
      </c>
      <c r="AC387" s="169">
        <v>17082.78</v>
      </c>
      <c r="AD387" s="170">
        <v>462.04</v>
      </c>
    </row>
    <row r="388" spans="28:30">
      <c r="AB388" s="169">
        <v>663068.95200000005</v>
      </c>
      <c r="AC388" s="169">
        <v>17082.78</v>
      </c>
      <c r="AD388" s="170">
        <v>238.94499999999999</v>
      </c>
    </row>
    <row r="389" spans="28:30">
      <c r="AB389" s="169">
        <v>690696.82499999995</v>
      </c>
      <c r="AC389" s="169">
        <v>17082.78</v>
      </c>
      <c r="AD389" s="170">
        <v>142.24</v>
      </c>
    </row>
    <row r="390" spans="28:30">
      <c r="AB390" s="169">
        <v>718324.69799999997</v>
      </c>
      <c r="AC390" s="169">
        <v>17082.78</v>
      </c>
      <c r="AD390" s="170">
        <v>119.8</v>
      </c>
    </row>
    <row r="391" spans="28:30">
      <c r="AB391" s="169">
        <v>745952.571</v>
      </c>
      <c r="AC391" s="169">
        <v>17082.78</v>
      </c>
      <c r="AD391" s="170">
        <v>57.55</v>
      </c>
    </row>
    <row r="392" spans="28:30">
      <c r="AB392" s="169">
        <v>773580.44400000002</v>
      </c>
      <c r="AC392" s="169">
        <v>17082.78</v>
      </c>
      <c r="AD392" s="170">
        <v>29.215</v>
      </c>
    </row>
    <row r="393" spans="28:30">
      <c r="AB393" s="169">
        <v>801208.31700000004</v>
      </c>
      <c r="AC393" s="169">
        <v>17082.78</v>
      </c>
      <c r="AD393" s="170">
        <v>14.765000000000001</v>
      </c>
    </row>
    <row r="394" spans="28:30">
      <c r="AB394" s="169">
        <v>828836.19</v>
      </c>
      <c r="AC394" s="169">
        <v>17082.78</v>
      </c>
      <c r="AD394" s="170">
        <v>14.875</v>
      </c>
    </row>
    <row r="395" spans="28:30">
      <c r="AB395" s="169">
        <v>856464.06299999997</v>
      </c>
      <c r="AC395" s="169">
        <v>17082.78</v>
      </c>
      <c r="AD395" s="170">
        <v>7.8949999999999996</v>
      </c>
    </row>
    <row r="396" spans="28:30">
      <c r="AB396" s="169">
        <v>884091.93599999999</v>
      </c>
      <c r="AC396" s="169">
        <v>17082.78</v>
      </c>
      <c r="AD396" s="170">
        <v>3.6749999999999998</v>
      </c>
    </row>
    <row r="397" spans="28:30">
      <c r="AB397" s="169">
        <v>911718.26199999999</v>
      </c>
      <c r="AC397" s="169">
        <v>17082.78</v>
      </c>
      <c r="AD397" s="170">
        <v>2.835</v>
      </c>
    </row>
    <row r="398" spans="28:30">
      <c r="AB398" s="169">
        <v>939346.13500000001</v>
      </c>
      <c r="AC398" s="169">
        <v>17082.78</v>
      </c>
      <c r="AD398" s="170">
        <v>2.3450000000000002</v>
      </c>
    </row>
    <row r="399" spans="28:30">
      <c r="AB399" s="169">
        <v>966974.00800000003</v>
      </c>
      <c r="AC399" s="169">
        <v>17082.78</v>
      </c>
      <c r="AD399" s="170">
        <v>1.655</v>
      </c>
    </row>
    <row r="400" spans="28:30">
      <c r="AB400" s="169">
        <v>994601.88100000005</v>
      </c>
      <c r="AC400" s="169">
        <v>17082.78</v>
      </c>
      <c r="AD400" s="170">
        <v>0.23</v>
      </c>
    </row>
    <row r="401" spans="28:30">
      <c r="AB401" s="169">
        <v>1022229.754</v>
      </c>
      <c r="AC401" s="169">
        <v>17082.78</v>
      </c>
      <c r="AD401" s="170">
        <v>1.4999999999999999E-2</v>
      </c>
    </row>
    <row r="402" spans="28:30">
      <c r="AB402" s="169">
        <v>1049857.6270000001</v>
      </c>
      <c r="AC402" s="169">
        <v>17082.78</v>
      </c>
      <c r="AD402" s="170">
        <v>0.24</v>
      </c>
    </row>
    <row r="403" spans="28:30">
      <c r="AB403" s="169">
        <v>1077485.5</v>
      </c>
      <c r="AC403" s="169">
        <v>17082.78</v>
      </c>
      <c r="AD403" s="170">
        <v>0.03</v>
      </c>
    </row>
    <row r="404" spans="28:30">
      <c r="AB404" s="169">
        <v>1105113.3729999999</v>
      </c>
      <c r="AC404" s="169">
        <v>17082.78</v>
      </c>
      <c r="AD404" s="170">
        <v>0.15</v>
      </c>
    </row>
    <row r="405" spans="28:30">
      <c r="AB405" s="169">
        <v>1132741.246</v>
      </c>
      <c r="AC405" s="169">
        <v>17082.78</v>
      </c>
      <c r="AD405" s="170">
        <v>1.4999999999999999E-2</v>
      </c>
    </row>
    <row r="406" spans="28:30">
      <c r="AB406" s="169">
        <v>1160369.1189999999</v>
      </c>
      <c r="AC406" s="169">
        <v>17082.78</v>
      </c>
      <c r="AD406" s="170">
        <v>0.02</v>
      </c>
    </row>
    <row r="407" spans="28:30">
      <c r="AB407" s="169">
        <v>1215624.865</v>
      </c>
      <c r="AC407" s="169">
        <v>17082.78</v>
      </c>
      <c r="AD407" s="170">
        <v>0.1</v>
      </c>
    </row>
    <row r="408" spans="28:30">
      <c r="AB408" s="169">
        <v>1243252.7379999999</v>
      </c>
      <c r="AC408" s="169">
        <v>17082.78</v>
      </c>
      <c r="AD408" s="170">
        <v>0.01</v>
      </c>
    </row>
    <row r="409" spans="28:30">
      <c r="AB409" s="169">
        <v>1270880.611</v>
      </c>
      <c r="AC409" s="169">
        <v>17082.78</v>
      </c>
      <c r="AD409" s="170">
        <v>4.4999999999999998E-2</v>
      </c>
    </row>
    <row r="410" spans="28:30">
      <c r="AB410" s="169">
        <v>0.1330700007</v>
      </c>
      <c r="AC410" s="169">
        <v>38397.449999999997</v>
      </c>
      <c r="AD410" s="170">
        <v>36636100</v>
      </c>
    </row>
    <row r="411" spans="28:30">
      <c r="AB411" s="169">
        <v>27628.027699999999</v>
      </c>
      <c r="AC411" s="169">
        <v>38397.449999999997</v>
      </c>
      <c r="AD411" s="170">
        <v>4508940</v>
      </c>
    </row>
    <row r="412" spans="28:30">
      <c r="AB412" s="169">
        <v>55255.900699999998</v>
      </c>
      <c r="AC412" s="169">
        <v>38397.449999999997</v>
      </c>
      <c r="AD412" s="170">
        <v>2094400</v>
      </c>
    </row>
    <row r="413" spans="28:30">
      <c r="AB413" s="169">
        <v>82883.619000000006</v>
      </c>
      <c r="AC413" s="169">
        <v>38397.449999999997</v>
      </c>
      <c r="AD413" s="170">
        <v>1003540</v>
      </c>
    </row>
    <row r="414" spans="28:30">
      <c r="AB414" s="169">
        <v>110511.492</v>
      </c>
      <c r="AC414" s="169">
        <v>38397.449999999997</v>
      </c>
      <c r="AD414" s="170">
        <v>486244</v>
      </c>
    </row>
    <row r="415" spans="28:30">
      <c r="AB415" s="169">
        <v>138139.36499999999</v>
      </c>
      <c r="AC415" s="169">
        <v>38397.449999999997</v>
      </c>
      <c r="AD415" s="170">
        <v>236461</v>
      </c>
    </row>
    <row r="416" spans="28:30">
      <c r="AB416" s="169">
        <v>165767.23800000001</v>
      </c>
      <c r="AC416" s="169">
        <v>38397.449999999997</v>
      </c>
      <c r="AD416" s="170">
        <v>142252</v>
      </c>
    </row>
    <row r="417" spans="28:30">
      <c r="AB417" s="169">
        <v>193395.111</v>
      </c>
      <c r="AC417" s="169">
        <v>38397.449999999997</v>
      </c>
      <c r="AD417" s="170">
        <v>84407.9</v>
      </c>
    </row>
    <row r="418" spans="28:30">
      <c r="AB418" s="169">
        <v>221022.984</v>
      </c>
      <c r="AC418" s="169">
        <v>38397.449999999997</v>
      </c>
      <c r="AD418" s="170">
        <v>56315.1</v>
      </c>
    </row>
    <row r="419" spans="28:30">
      <c r="AB419" s="169">
        <v>248650.85699999999</v>
      </c>
      <c r="AC419" s="169">
        <v>38397.449999999997</v>
      </c>
      <c r="AD419" s="170">
        <v>43162.7</v>
      </c>
    </row>
    <row r="420" spans="28:30">
      <c r="AB420" s="169">
        <v>276278.73</v>
      </c>
      <c r="AC420" s="169">
        <v>38397.449999999997</v>
      </c>
      <c r="AD420" s="170">
        <v>30297.5</v>
      </c>
    </row>
    <row r="421" spans="28:30">
      <c r="AB421" s="169">
        <v>303906.603</v>
      </c>
      <c r="AC421" s="169">
        <v>38397.449999999997</v>
      </c>
      <c r="AD421" s="170">
        <v>20940.3</v>
      </c>
    </row>
    <row r="422" spans="28:30">
      <c r="AB422" s="169">
        <v>331534.47600000002</v>
      </c>
      <c r="AC422" s="169">
        <v>38397.449999999997</v>
      </c>
      <c r="AD422" s="170">
        <v>13389.9</v>
      </c>
    </row>
    <row r="423" spans="28:30">
      <c r="AB423" s="169">
        <v>359162.34899999999</v>
      </c>
      <c r="AC423" s="169">
        <v>38397.449999999997</v>
      </c>
      <c r="AD423" s="170">
        <v>10734.9</v>
      </c>
    </row>
    <row r="424" spans="28:30">
      <c r="AB424" s="169">
        <v>386790.22200000001</v>
      </c>
      <c r="AC424" s="169">
        <v>38397.449999999997</v>
      </c>
      <c r="AD424" s="170">
        <v>7284.33</v>
      </c>
    </row>
    <row r="425" spans="28:30">
      <c r="AB425" s="169">
        <v>414418.09499999997</v>
      </c>
      <c r="AC425" s="169">
        <v>38397.449999999997</v>
      </c>
      <c r="AD425" s="170">
        <v>5054.97</v>
      </c>
    </row>
    <row r="426" spans="28:30">
      <c r="AB426" s="169">
        <v>442045.96799999999</v>
      </c>
      <c r="AC426" s="169">
        <v>38397.449999999997</v>
      </c>
      <c r="AD426" s="170">
        <v>3459.55</v>
      </c>
    </row>
    <row r="427" spans="28:30">
      <c r="AB427" s="169">
        <v>469673.84100000001</v>
      </c>
      <c r="AC427" s="169">
        <v>38397.449999999997</v>
      </c>
      <c r="AD427" s="170">
        <v>2019.3</v>
      </c>
    </row>
    <row r="428" spans="28:30">
      <c r="AB428" s="169">
        <v>497301.71399999998</v>
      </c>
      <c r="AC428" s="169">
        <v>38397.449999999997</v>
      </c>
      <c r="AD428" s="170">
        <v>1398.4</v>
      </c>
    </row>
    <row r="429" spans="28:30">
      <c r="AB429" s="169">
        <v>524929.58700000006</v>
      </c>
      <c r="AC429" s="169">
        <v>38397.449999999997</v>
      </c>
      <c r="AD429" s="170">
        <v>1015.01</v>
      </c>
    </row>
    <row r="430" spans="28:30">
      <c r="AB430" s="169">
        <v>552557.46</v>
      </c>
      <c r="AC430" s="169">
        <v>38397.449999999997</v>
      </c>
      <c r="AD430" s="170">
        <v>1109.6600000000001</v>
      </c>
    </row>
    <row r="431" spans="28:30">
      <c r="AB431" s="169">
        <v>580185.33299999998</v>
      </c>
      <c r="AC431" s="169">
        <v>38397.449999999997</v>
      </c>
      <c r="AD431" s="170">
        <v>598.67499999999995</v>
      </c>
    </row>
    <row r="432" spans="28:30">
      <c r="AB432" s="169">
        <v>607813.20600000001</v>
      </c>
      <c r="AC432" s="169">
        <v>38397.449999999997</v>
      </c>
      <c r="AD432" s="170">
        <v>449.60500000000002</v>
      </c>
    </row>
    <row r="433" spans="28:30">
      <c r="AB433" s="169">
        <v>635441.07900000003</v>
      </c>
      <c r="AC433" s="169">
        <v>38397.449999999997</v>
      </c>
      <c r="AD433" s="170">
        <v>229.94</v>
      </c>
    </row>
    <row r="434" spans="28:30">
      <c r="AB434" s="169">
        <v>663068.95200000005</v>
      </c>
      <c r="AC434" s="169">
        <v>38397.449999999997</v>
      </c>
      <c r="AD434" s="170">
        <v>112.68</v>
      </c>
    </row>
    <row r="435" spans="28:30">
      <c r="AB435" s="169">
        <v>690696.82499999995</v>
      </c>
      <c r="AC435" s="169">
        <v>38397.449999999997</v>
      </c>
      <c r="AD435" s="170">
        <v>139.25</v>
      </c>
    </row>
    <row r="436" spans="28:30">
      <c r="AB436" s="169">
        <v>718324.69799999997</v>
      </c>
      <c r="AC436" s="169">
        <v>38397.449999999997</v>
      </c>
      <c r="AD436" s="170">
        <v>63.204999999999998</v>
      </c>
    </row>
    <row r="437" spans="28:30">
      <c r="AB437" s="169">
        <v>745952.571</v>
      </c>
      <c r="AC437" s="169">
        <v>38397.449999999997</v>
      </c>
      <c r="AD437" s="170">
        <v>26.105</v>
      </c>
    </row>
    <row r="438" spans="28:30">
      <c r="AB438" s="169">
        <v>773580.44400000002</v>
      </c>
      <c r="AC438" s="169">
        <v>38397.449999999997</v>
      </c>
      <c r="AD438" s="170">
        <v>11.715</v>
      </c>
    </row>
    <row r="439" spans="28:30">
      <c r="AB439" s="169">
        <v>801208.31700000004</v>
      </c>
      <c r="AC439" s="169">
        <v>38397.449999999997</v>
      </c>
      <c r="AD439" s="170">
        <v>8.0050000000000008</v>
      </c>
    </row>
    <row r="440" spans="28:30">
      <c r="AB440" s="169">
        <v>828836.19</v>
      </c>
      <c r="AC440" s="169">
        <v>38397.449999999997</v>
      </c>
      <c r="AD440" s="170">
        <v>3.49</v>
      </c>
    </row>
    <row r="441" spans="28:30">
      <c r="AB441" s="169">
        <v>856464.06299999997</v>
      </c>
      <c r="AC441" s="169">
        <v>38397.449999999997</v>
      </c>
      <c r="AD441" s="170">
        <v>0.74</v>
      </c>
    </row>
    <row r="442" spans="28:30">
      <c r="AB442" s="169">
        <v>911718.26199999999</v>
      </c>
      <c r="AC442" s="169">
        <v>38397.449999999997</v>
      </c>
      <c r="AD442" s="170">
        <v>0.02</v>
      </c>
    </row>
    <row r="443" spans="28:30">
      <c r="AB443" s="169">
        <v>939346.13500000001</v>
      </c>
      <c r="AC443" s="169">
        <v>38397.449999999997</v>
      </c>
      <c r="AD443" s="170">
        <v>5.5E-2</v>
      </c>
    </row>
    <row r="444" spans="28:30">
      <c r="AB444" s="169">
        <v>966974.00800000003</v>
      </c>
      <c r="AC444" s="169">
        <v>38397.449999999997</v>
      </c>
      <c r="AD444" s="170">
        <v>1.03</v>
      </c>
    </row>
    <row r="445" spans="28:30">
      <c r="AB445" s="169">
        <v>1077485.5</v>
      </c>
      <c r="AC445" s="169">
        <v>38397.449999999997</v>
      </c>
      <c r="AD445" s="170">
        <v>5.0000000000000001E-3</v>
      </c>
    </row>
    <row r="446" spans="28:30">
      <c r="AB446" s="169">
        <v>0.1330700007</v>
      </c>
      <c r="AC446" s="169">
        <v>59712.12</v>
      </c>
      <c r="AD446" s="170">
        <v>32978500</v>
      </c>
    </row>
    <row r="447" spans="28:30">
      <c r="AB447" s="169">
        <v>27628.027699999999</v>
      </c>
      <c r="AC447" s="169">
        <v>59712.12</v>
      </c>
      <c r="AD447" s="170">
        <v>2604650</v>
      </c>
    </row>
    <row r="448" spans="28:30">
      <c r="AB448" s="169">
        <v>55255.900699999998</v>
      </c>
      <c r="AC448" s="169">
        <v>59712.12</v>
      </c>
      <c r="AD448" s="170">
        <v>901599</v>
      </c>
    </row>
    <row r="449" spans="28:30">
      <c r="AB449" s="169">
        <v>82883.619000000006</v>
      </c>
      <c r="AC449" s="169">
        <v>59712.12</v>
      </c>
      <c r="AD449" s="170">
        <v>427317</v>
      </c>
    </row>
    <row r="450" spans="28:30">
      <c r="AB450" s="169">
        <v>110511.492</v>
      </c>
      <c r="AC450" s="169">
        <v>59712.12</v>
      </c>
      <c r="AD450" s="170">
        <v>168079</v>
      </c>
    </row>
    <row r="451" spans="28:30">
      <c r="AB451" s="169">
        <v>138139.36499999999</v>
      </c>
      <c r="AC451" s="169">
        <v>59712.12</v>
      </c>
      <c r="AD451" s="170">
        <v>71253.399999999994</v>
      </c>
    </row>
    <row r="452" spans="28:30">
      <c r="AB452" s="169">
        <v>165767.23800000001</v>
      </c>
      <c r="AC452" s="169">
        <v>59712.12</v>
      </c>
      <c r="AD452" s="170">
        <v>30715</v>
      </c>
    </row>
    <row r="453" spans="28:30">
      <c r="AB453" s="169">
        <v>193395.111</v>
      </c>
      <c r="AC453" s="169">
        <v>59712.12</v>
      </c>
      <c r="AD453" s="170">
        <v>14567.1</v>
      </c>
    </row>
    <row r="454" spans="28:30">
      <c r="AB454" s="169">
        <v>221022.984</v>
      </c>
      <c r="AC454" s="169">
        <v>59712.12</v>
      </c>
      <c r="AD454" s="170">
        <v>8533.7999999999993</v>
      </c>
    </row>
    <row r="455" spans="28:30">
      <c r="AB455" s="169">
        <v>248650.85699999999</v>
      </c>
      <c r="AC455" s="169">
        <v>59712.12</v>
      </c>
      <c r="AD455" s="170">
        <v>5169.97</v>
      </c>
    </row>
    <row r="456" spans="28:30">
      <c r="AB456" s="169">
        <v>276278.73</v>
      </c>
      <c r="AC456" s="169">
        <v>59712.12</v>
      </c>
      <c r="AD456" s="170">
        <v>2294.2399999999998</v>
      </c>
    </row>
    <row r="457" spans="28:30">
      <c r="AB457" s="169">
        <v>303906.603</v>
      </c>
      <c r="AC457" s="169">
        <v>59712.12</v>
      </c>
      <c r="AD457" s="170">
        <v>1667.95</v>
      </c>
    </row>
    <row r="458" spans="28:30">
      <c r="AB458" s="169">
        <v>331534.47600000002</v>
      </c>
      <c r="AC458" s="169">
        <v>59712.12</v>
      </c>
      <c r="AD458" s="170">
        <v>1821.88</v>
      </c>
    </row>
    <row r="459" spans="28:30">
      <c r="AB459" s="169">
        <v>359162.34899999999</v>
      </c>
      <c r="AC459" s="169">
        <v>59712.12</v>
      </c>
      <c r="AD459" s="170">
        <v>614.56500000000005</v>
      </c>
    </row>
    <row r="460" spans="28:30">
      <c r="AB460" s="169">
        <v>386790.22200000001</v>
      </c>
      <c r="AC460" s="169">
        <v>59712.12</v>
      </c>
      <c r="AD460" s="170">
        <v>1588.56</v>
      </c>
    </row>
    <row r="461" spans="28:30">
      <c r="AB461" s="169">
        <v>414418.09499999997</v>
      </c>
      <c r="AC461" s="169">
        <v>59712.12</v>
      </c>
      <c r="AD461" s="170">
        <v>1561.29</v>
      </c>
    </row>
    <row r="462" spans="28:30">
      <c r="AB462" s="169">
        <v>442045.96799999999</v>
      </c>
      <c r="AC462" s="169">
        <v>59712.12</v>
      </c>
      <c r="AD462" s="170">
        <v>391.30500000000001</v>
      </c>
    </row>
    <row r="463" spans="28:30">
      <c r="AB463" s="169">
        <v>469673.84100000001</v>
      </c>
      <c r="AC463" s="169">
        <v>59712.12</v>
      </c>
      <c r="AD463" s="170">
        <v>1503.52</v>
      </c>
    </row>
    <row r="464" spans="28:30">
      <c r="AB464" s="169">
        <v>497301.71399999998</v>
      </c>
      <c r="AC464" s="169">
        <v>59712.12</v>
      </c>
      <c r="AD464" s="170">
        <v>1333.66</v>
      </c>
    </row>
    <row r="465" spans="28:30">
      <c r="AB465" s="169">
        <v>524929.58700000006</v>
      </c>
      <c r="AC465" s="169">
        <v>59712.12</v>
      </c>
      <c r="AD465" s="170">
        <v>33.36</v>
      </c>
    </row>
    <row r="466" spans="28:30">
      <c r="AB466" s="169">
        <v>552557.46</v>
      </c>
      <c r="AC466" s="169">
        <v>59712.12</v>
      </c>
      <c r="AD466" s="170">
        <v>10.225</v>
      </c>
    </row>
    <row r="467" spans="28:30">
      <c r="AB467" s="169">
        <v>580185.33299999998</v>
      </c>
      <c r="AC467" s="169">
        <v>59712.12</v>
      </c>
      <c r="AD467" s="170">
        <v>7.92</v>
      </c>
    </row>
    <row r="468" spans="28:30">
      <c r="AB468" s="169">
        <v>607813.20600000001</v>
      </c>
      <c r="AC468" s="169">
        <v>59712.12</v>
      </c>
      <c r="AD468" s="170">
        <v>28.79</v>
      </c>
    </row>
    <row r="469" spans="28:30">
      <c r="AB469" s="169">
        <v>635441.07900000003</v>
      </c>
      <c r="AC469" s="169">
        <v>59712.12</v>
      </c>
      <c r="AD469" s="170">
        <v>5.9550000000000001</v>
      </c>
    </row>
    <row r="470" spans="28:30">
      <c r="AB470" s="169">
        <v>663068.95200000005</v>
      </c>
      <c r="AC470" s="169">
        <v>59712.12</v>
      </c>
      <c r="AD470" s="170">
        <v>5.125</v>
      </c>
    </row>
    <row r="471" spans="28:30">
      <c r="AB471" s="169">
        <v>690696.82499999995</v>
      </c>
      <c r="AC471" s="169">
        <v>59712.12</v>
      </c>
      <c r="AD471" s="170">
        <v>8.7550000000000008</v>
      </c>
    </row>
    <row r="472" spans="28:30">
      <c r="AB472" s="169">
        <v>718324.69799999997</v>
      </c>
      <c r="AC472" s="169">
        <v>59712.12</v>
      </c>
      <c r="AD472" s="170">
        <v>0.27</v>
      </c>
    </row>
    <row r="473" spans="28:30">
      <c r="AB473" s="169">
        <v>745952.571</v>
      </c>
      <c r="AC473" s="169">
        <v>59712.12</v>
      </c>
      <c r="AD473" s="170">
        <v>5.6550000000000002</v>
      </c>
    </row>
    <row r="474" spans="28:30">
      <c r="AB474" s="169">
        <v>773580.44400000002</v>
      </c>
      <c r="AC474" s="169">
        <v>59712.12</v>
      </c>
      <c r="AD474" s="170">
        <v>12.824999999999999</v>
      </c>
    </row>
    <row r="475" spans="28:30">
      <c r="AB475" s="169">
        <v>828836.19</v>
      </c>
      <c r="AC475" s="169">
        <v>59712.12</v>
      </c>
      <c r="AD475" s="170">
        <v>2.5000000000000001E-2</v>
      </c>
    </row>
    <row r="476" spans="28:30">
      <c r="AB476" s="169">
        <v>0.1330700007</v>
      </c>
      <c r="AC476" s="169">
        <v>81026.789999999994</v>
      </c>
      <c r="AD476" s="170">
        <v>35226900</v>
      </c>
    </row>
    <row r="477" spans="28:30">
      <c r="AB477" s="169">
        <v>27628.027699999999</v>
      </c>
      <c r="AC477" s="169">
        <v>81026.789999999994</v>
      </c>
      <c r="AD477" s="170">
        <v>2404700</v>
      </c>
    </row>
    <row r="478" spans="28:30">
      <c r="AB478" s="169">
        <v>55255.900699999998</v>
      </c>
      <c r="AC478" s="169">
        <v>81026.789999999994</v>
      </c>
      <c r="AD478" s="170">
        <v>576632</v>
      </c>
    </row>
    <row r="479" spans="28:30">
      <c r="AB479" s="169">
        <v>82883.619000000006</v>
      </c>
      <c r="AC479" s="169">
        <v>81026.789999999994</v>
      </c>
      <c r="AD479" s="170">
        <v>258917</v>
      </c>
    </row>
    <row r="480" spans="28:30">
      <c r="AB480" s="169">
        <v>110511.492</v>
      </c>
      <c r="AC480" s="169">
        <v>81026.789999999994</v>
      </c>
      <c r="AD480" s="170">
        <v>99099.3</v>
      </c>
    </row>
    <row r="481" spans="28:30">
      <c r="AB481" s="169">
        <v>138139.36499999999</v>
      </c>
      <c r="AC481" s="169">
        <v>81026.789999999994</v>
      </c>
      <c r="AD481" s="170">
        <v>32145.4</v>
      </c>
    </row>
    <row r="482" spans="28:30">
      <c r="AB482" s="169">
        <v>165767.23800000001</v>
      </c>
      <c r="AC482" s="169">
        <v>81026.789999999994</v>
      </c>
      <c r="AD482" s="170">
        <v>10338.700000000001</v>
      </c>
    </row>
    <row r="483" spans="28:30">
      <c r="AB483" s="169">
        <v>193395.111</v>
      </c>
      <c r="AC483" s="169">
        <v>81026.789999999994</v>
      </c>
      <c r="AD483" s="170">
        <v>5890.96</v>
      </c>
    </row>
    <row r="484" spans="28:30">
      <c r="AB484" s="169">
        <v>221022.984</v>
      </c>
      <c r="AC484" s="169">
        <v>81026.789999999994</v>
      </c>
      <c r="AD484" s="170">
        <v>3662.42</v>
      </c>
    </row>
    <row r="485" spans="28:30">
      <c r="AB485" s="169">
        <v>248650.85699999999</v>
      </c>
      <c r="AC485" s="169">
        <v>81026.789999999994</v>
      </c>
      <c r="AD485" s="170">
        <v>3510.58</v>
      </c>
    </row>
    <row r="486" spans="28:30">
      <c r="AB486" s="169">
        <v>276278.73</v>
      </c>
      <c r="AC486" s="169">
        <v>81026.789999999994</v>
      </c>
      <c r="AD486" s="170">
        <v>1379.39</v>
      </c>
    </row>
    <row r="487" spans="28:30">
      <c r="AB487" s="169">
        <v>303906.603</v>
      </c>
      <c r="AC487" s="169">
        <v>81026.789999999994</v>
      </c>
      <c r="AD487" s="170">
        <v>1096.47</v>
      </c>
    </row>
    <row r="488" spans="28:30">
      <c r="AB488" s="169">
        <v>331534.47600000002</v>
      </c>
      <c r="AC488" s="169">
        <v>81026.789999999994</v>
      </c>
      <c r="AD488" s="170">
        <v>1349.72</v>
      </c>
    </row>
    <row r="489" spans="28:30">
      <c r="AB489" s="169">
        <v>359162.34899999999</v>
      </c>
      <c r="AC489" s="169">
        <v>81026.789999999994</v>
      </c>
      <c r="AD489" s="170">
        <v>507.64499999999998</v>
      </c>
    </row>
    <row r="490" spans="28:30">
      <c r="AB490" s="169">
        <v>386790.22200000001</v>
      </c>
      <c r="AC490" s="169">
        <v>81026.789999999994</v>
      </c>
      <c r="AD490" s="170">
        <v>1004.15</v>
      </c>
    </row>
    <row r="491" spans="28:30">
      <c r="AB491" s="169">
        <v>414418.09499999997</v>
      </c>
      <c r="AC491" s="169">
        <v>81026.789999999994</v>
      </c>
      <c r="AD491" s="170">
        <v>132.82</v>
      </c>
    </row>
    <row r="492" spans="28:30">
      <c r="AB492" s="169">
        <v>442045.96799999999</v>
      </c>
      <c r="AC492" s="169">
        <v>81026.789999999994</v>
      </c>
      <c r="AD492" s="170">
        <v>80.635000000000005</v>
      </c>
    </row>
    <row r="493" spans="28:30">
      <c r="AB493" s="169">
        <v>469673.84100000001</v>
      </c>
      <c r="AC493" s="169">
        <v>81026.789999999994</v>
      </c>
      <c r="AD493" s="170">
        <v>115.42</v>
      </c>
    </row>
    <row r="494" spans="28:30">
      <c r="AB494" s="169">
        <v>497301.71399999998</v>
      </c>
      <c r="AC494" s="169">
        <v>81026.789999999994</v>
      </c>
      <c r="AD494" s="170">
        <v>21.414999999999999</v>
      </c>
    </row>
    <row r="495" spans="28:30">
      <c r="AB495" s="169">
        <v>524929.58700000006</v>
      </c>
      <c r="AC495" s="169">
        <v>81026.789999999994</v>
      </c>
      <c r="AD495" s="170">
        <v>28.225000000000001</v>
      </c>
    </row>
    <row r="496" spans="28:30">
      <c r="AB496" s="169">
        <v>552557.46</v>
      </c>
      <c r="AC496" s="169">
        <v>81026.789999999994</v>
      </c>
      <c r="AD496" s="170">
        <v>86.254999999999995</v>
      </c>
    </row>
    <row r="497" spans="28:30">
      <c r="AB497" s="169">
        <v>580185.33299999998</v>
      </c>
      <c r="AC497" s="169">
        <v>81026.789999999994</v>
      </c>
      <c r="AD497" s="170">
        <v>2.9249999999999998</v>
      </c>
    </row>
    <row r="498" spans="28:30">
      <c r="AB498" s="169">
        <v>607813.20600000001</v>
      </c>
      <c r="AC498" s="169">
        <v>81026.789999999994</v>
      </c>
      <c r="AD498" s="170">
        <v>11.775</v>
      </c>
    </row>
    <row r="499" spans="28:30">
      <c r="AB499" s="169">
        <v>635441.07900000003</v>
      </c>
      <c r="AC499" s="169">
        <v>81026.789999999994</v>
      </c>
      <c r="AD499" s="170">
        <v>0.755</v>
      </c>
    </row>
    <row r="500" spans="28:30">
      <c r="AB500" s="169">
        <v>663068.95200000005</v>
      </c>
      <c r="AC500" s="169">
        <v>81026.789999999994</v>
      </c>
      <c r="AD500" s="170">
        <v>1.44</v>
      </c>
    </row>
    <row r="501" spans="28:30">
      <c r="AB501" s="169">
        <v>690696.82499999995</v>
      </c>
      <c r="AC501" s="169">
        <v>81026.789999999994</v>
      </c>
      <c r="AD501" s="170">
        <v>1.86</v>
      </c>
    </row>
    <row r="502" spans="28:30">
      <c r="AB502" s="169">
        <v>718324.69799999997</v>
      </c>
      <c r="AC502" s="169">
        <v>81026.789999999994</v>
      </c>
      <c r="AD502" s="170">
        <v>0.44</v>
      </c>
    </row>
    <row r="503" spans="28:30">
      <c r="AB503" s="169">
        <v>745952.571</v>
      </c>
      <c r="AC503" s="169">
        <v>81026.789999999994</v>
      </c>
      <c r="AD503" s="170">
        <v>3.41</v>
      </c>
    </row>
    <row r="504" spans="28:30">
      <c r="AB504" s="169">
        <v>773580.44400000002</v>
      </c>
      <c r="AC504" s="169">
        <v>81026.789999999994</v>
      </c>
      <c r="AD504" s="170">
        <v>1.38</v>
      </c>
    </row>
    <row r="505" spans="28:30">
      <c r="AB505" s="169">
        <v>801208.31700000004</v>
      </c>
      <c r="AC505" s="169">
        <v>81026.789999999994</v>
      </c>
      <c r="AD505" s="170">
        <v>2.14</v>
      </c>
    </row>
    <row r="506" spans="28:30">
      <c r="AB506" s="169">
        <v>828836.19</v>
      </c>
      <c r="AC506" s="169">
        <v>81026.789999999994</v>
      </c>
      <c r="AD506" s="170">
        <v>1.07</v>
      </c>
    </row>
    <row r="507" spans="28:30">
      <c r="AB507" s="169">
        <v>856464.06299999997</v>
      </c>
      <c r="AC507" s="169">
        <v>81026.789999999994</v>
      </c>
      <c r="AD507" s="170">
        <v>3.21</v>
      </c>
    </row>
    <row r="508" spans="28:30">
      <c r="AB508" s="169">
        <v>884091.93599999999</v>
      </c>
      <c r="AC508" s="169">
        <v>81026.789999999994</v>
      </c>
      <c r="AD508" s="170">
        <v>1.07</v>
      </c>
    </row>
    <row r="509" spans="28:30">
      <c r="AB509" s="169">
        <v>0.1330700007</v>
      </c>
      <c r="AC509" s="169">
        <v>102341.46</v>
      </c>
      <c r="AD509" s="170">
        <v>39606300</v>
      </c>
    </row>
    <row r="510" spans="28:30">
      <c r="AB510" s="169">
        <v>27628.027699999999</v>
      </c>
      <c r="AC510" s="169">
        <v>102341.46</v>
      </c>
      <c r="AD510" s="170">
        <v>3110140</v>
      </c>
    </row>
    <row r="511" spans="28:30">
      <c r="AB511" s="169">
        <v>55255.900699999998</v>
      </c>
      <c r="AC511" s="169">
        <v>102341.46</v>
      </c>
      <c r="AD511" s="170">
        <v>1138610</v>
      </c>
    </row>
    <row r="512" spans="28:30">
      <c r="AB512" s="169">
        <v>82883.619000000006</v>
      </c>
      <c r="AC512" s="169">
        <v>102341.46</v>
      </c>
      <c r="AD512" s="170">
        <v>587218</v>
      </c>
    </row>
    <row r="513" spans="28:30">
      <c r="AB513" s="169">
        <v>110511.492</v>
      </c>
      <c r="AC513" s="169">
        <v>102341.46</v>
      </c>
      <c r="AD513" s="170">
        <v>259036</v>
      </c>
    </row>
    <row r="514" spans="28:30">
      <c r="AB514" s="169">
        <v>138139.36499999999</v>
      </c>
      <c r="AC514" s="169">
        <v>102341.46</v>
      </c>
      <c r="AD514" s="170">
        <v>105367</v>
      </c>
    </row>
    <row r="515" spans="28:30">
      <c r="AB515" s="169">
        <v>165767.23800000001</v>
      </c>
      <c r="AC515" s="169">
        <v>102341.46</v>
      </c>
      <c r="AD515" s="170">
        <v>49278.9</v>
      </c>
    </row>
    <row r="516" spans="28:30">
      <c r="AB516" s="169">
        <v>193395.111</v>
      </c>
      <c r="AC516" s="169">
        <v>102341.46</v>
      </c>
      <c r="AD516" s="170">
        <v>24956.400000000001</v>
      </c>
    </row>
    <row r="517" spans="28:30">
      <c r="AB517" s="169">
        <v>221022.984</v>
      </c>
      <c r="AC517" s="169">
        <v>102341.46</v>
      </c>
      <c r="AD517" s="170">
        <v>12360.3</v>
      </c>
    </row>
    <row r="518" spans="28:30">
      <c r="AB518" s="169">
        <v>248650.85699999999</v>
      </c>
      <c r="AC518" s="169">
        <v>102341.46</v>
      </c>
      <c r="AD518" s="170">
        <v>9518.44</v>
      </c>
    </row>
    <row r="519" spans="28:30">
      <c r="AB519" s="169">
        <v>276278.73</v>
      </c>
      <c r="AC519" s="169">
        <v>102341.46</v>
      </c>
      <c r="AD519" s="170">
        <v>6109.4</v>
      </c>
    </row>
    <row r="520" spans="28:30">
      <c r="AB520" s="169">
        <v>303906.603</v>
      </c>
      <c r="AC520" s="169">
        <v>102341.46</v>
      </c>
      <c r="AD520" s="170">
        <v>4066.89</v>
      </c>
    </row>
    <row r="521" spans="28:30">
      <c r="AB521" s="169">
        <v>331534.47600000002</v>
      </c>
      <c r="AC521" s="169">
        <v>102341.46</v>
      </c>
      <c r="AD521" s="170">
        <v>2951.38</v>
      </c>
    </row>
    <row r="522" spans="28:30">
      <c r="AB522" s="169">
        <v>359162.34899999999</v>
      </c>
      <c r="AC522" s="169">
        <v>102341.46</v>
      </c>
      <c r="AD522" s="170">
        <v>2261.42</v>
      </c>
    </row>
    <row r="523" spans="28:30">
      <c r="AB523" s="169">
        <v>386790.22200000001</v>
      </c>
      <c r="AC523" s="169">
        <v>102341.46</v>
      </c>
      <c r="AD523" s="170">
        <v>956.52</v>
      </c>
    </row>
    <row r="524" spans="28:30">
      <c r="AB524" s="169">
        <v>414418.09499999997</v>
      </c>
      <c r="AC524" s="169">
        <v>102341.46</v>
      </c>
      <c r="AD524" s="170">
        <v>756.04</v>
      </c>
    </row>
    <row r="525" spans="28:30">
      <c r="AB525" s="169">
        <v>442045.96799999999</v>
      </c>
      <c r="AC525" s="169">
        <v>102341.46</v>
      </c>
      <c r="AD525" s="170">
        <v>664.51</v>
      </c>
    </row>
    <row r="526" spans="28:30">
      <c r="AB526" s="169">
        <v>469673.84100000001</v>
      </c>
      <c r="AC526" s="169">
        <v>102341.46</v>
      </c>
      <c r="AD526" s="170">
        <v>308.22500000000002</v>
      </c>
    </row>
    <row r="527" spans="28:30">
      <c r="AB527" s="169">
        <v>497301.71399999998</v>
      </c>
      <c r="AC527" s="169">
        <v>102341.46</v>
      </c>
      <c r="AD527" s="170">
        <v>51.195</v>
      </c>
    </row>
    <row r="528" spans="28:30">
      <c r="AB528" s="169">
        <v>524929.58700000006</v>
      </c>
      <c r="AC528" s="169">
        <v>102341.46</v>
      </c>
      <c r="AD528" s="170">
        <v>257.255</v>
      </c>
    </row>
    <row r="529" spans="28:30">
      <c r="AB529" s="169">
        <v>552557.46</v>
      </c>
      <c r="AC529" s="169">
        <v>102341.46</v>
      </c>
      <c r="AD529" s="170">
        <v>25.465</v>
      </c>
    </row>
    <row r="530" spans="28:30">
      <c r="AB530" s="169">
        <v>580185.33299999998</v>
      </c>
      <c r="AC530" s="169">
        <v>102341.46</v>
      </c>
      <c r="AD530" s="170">
        <v>30.285</v>
      </c>
    </row>
    <row r="531" spans="28:30">
      <c r="AB531" s="169">
        <v>607813.20600000001</v>
      </c>
      <c r="AC531" s="169">
        <v>102341.46</v>
      </c>
      <c r="AD531" s="170">
        <v>34.82</v>
      </c>
    </row>
    <row r="532" spans="28:30">
      <c r="AB532" s="169">
        <v>635441.07900000003</v>
      </c>
      <c r="AC532" s="169">
        <v>102341.46</v>
      </c>
      <c r="AD532" s="170">
        <v>7.22</v>
      </c>
    </row>
    <row r="533" spans="28:30">
      <c r="AB533" s="169">
        <v>663068.95200000005</v>
      </c>
      <c r="AC533" s="169">
        <v>102341.46</v>
      </c>
      <c r="AD533" s="170">
        <v>2.8</v>
      </c>
    </row>
    <row r="534" spans="28:30">
      <c r="AB534" s="169">
        <v>718324.69799999997</v>
      </c>
      <c r="AC534" s="169">
        <v>102341.46</v>
      </c>
      <c r="AD534" s="170">
        <v>0.17</v>
      </c>
    </row>
    <row r="535" spans="28:30">
      <c r="AB535" s="169">
        <v>801208.31700000004</v>
      </c>
      <c r="AC535" s="169">
        <v>102341.46</v>
      </c>
      <c r="AD535" s="170">
        <v>1.07</v>
      </c>
    </row>
    <row r="536" spans="28:30">
      <c r="AB536" s="169">
        <v>856464.06299999997</v>
      </c>
      <c r="AC536" s="169">
        <v>102341.46</v>
      </c>
      <c r="AD536" s="170">
        <v>1.07</v>
      </c>
    </row>
    <row r="537" spans="28:30">
      <c r="AB537" s="169">
        <v>0.1330700007</v>
      </c>
      <c r="AC537" s="169">
        <v>123656.13</v>
      </c>
      <c r="AD537" s="170">
        <v>43920200</v>
      </c>
    </row>
    <row r="538" spans="28:30">
      <c r="AB538" s="169">
        <v>27628.027699999999</v>
      </c>
      <c r="AC538" s="169">
        <v>123656.13</v>
      </c>
      <c r="AD538" s="170">
        <v>3540340</v>
      </c>
    </row>
    <row r="539" spans="28:30">
      <c r="AB539" s="169">
        <v>55255.900699999998</v>
      </c>
      <c r="AC539" s="169">
        <v>123656.13</v>
      </c>
      <c r="AD539" s="170">
        <v>1435530</v>
      </c>
    </row>
    <row r="540" spans="28:30">
      <c r="AB540" s="169">
        <v>82883.619000000006</v>
      </c>
      <c r="AC540" s="169">
        <v>123656.13</v>
      </c>
      <c r="AD540" s="170">
        <v>718693</v>
      </c>
    </row>
    <row r="541" spans="28:30">
      <c r="AB541" s="169">
        <v>110511.492</v>
      </c>
      <c r="AC541" s="169">
        <v>123656.13</v>
      </c>
      <c r="AD541" s="170">
        <v>287127</v>
      </c>
    </row>
    <row r="542" spans="28:30">
      <c r="AB542" s="169">
        <v>138139.36499999999</v>
      </c>
      <c r="AC542" s="169">
        <v>123656.13</v>
      </c>
      <c r="AD542" s="170">
        <v>100975</v>
      </c>
    </row>
    <row r="543" spans="28:30">
      <c r="AB543" s="169">
        <v>165767.23800000001</v>
      </c>
      <c r="AC543" s="169">
        <v>123656.13</v>
      </c>
      <c r="AD543" s="170">
        <v>42129.8</v>
      </c>
    </row>
    <row r="544" spans="28:30">
      <c r="AB544" s="169">
        <v>193395.111</v>
      </c>
      <c r="AC544" s="169">
        <v>123656.13</v>
      </c>
      <c r="AD544" s="170">
        <v>22705.7</v>
      </c>
    </row>
    <row r="545" spans="28:30">
      <c r="AB545" s="169">
        <v>221022.984</v>
      </c>
      <c r="AC545" s="169">
        <v>123656.13</v>
      </c>
      <c r="AD545" s="170">
        <v>10997.1</v>
      </c>
    </row>
    <row r="546" spans="28:30">
      <c r="AB546" s="169">
        <v>248650.85699999999</v>
      </c>
      <c r="AC546" s="169">
        <v>123656.13</v>
      </c>
      <c r="AD546" s="170">
        <v>6777.24</v>
      </c>
    </row>
    <row r="547" spans="28:30">
      <c r="AB547" s="169">
        <v>276278.73</v>
      </c>
      <c r="AC547" s="169">
        <v>123656.13</v>
      </c>
      <c r="AD547" s="170">
        <v>2936.41</v>
      </c>
    </row>
    <row r="548" spans="28:30">
      <c r="AB548" s="169">
        <v>303906.603</v>
      </c>
      <c r="AC548" s="169">
        <v>123656.13</v>
      </c>
      <c r="AD548" s="170">
        <v>1445.37</v>
      </c>
    </row>
    <row r="549" spans="28:30">
      <c r="AB549" s="169">
        <v>331534.47600000002</v>
      </c>
      <c r="AC549" s="169">
        <v>123656.13</v>
      </c>
      <c r="AD549" s="170">
        <v>1531.58</v>
      </c>
    </row>
    <row r="550" spans="28:30">
      <c r="AB550" s="169">
        <v>359162.34899999999</v>
      </c>
      <c r="AC550" s="169">
        <v>123656.13</v>
      </c>
      <c r="AD550" s="170">
        <v>350.52</v>
      </c>
    </row>
    <row r="551" spans="28:30">
      <c r="AB551" s="169">
        <v>386790.22200000001</v>
      </c>
      <c r="AC551" s="169">
        <v>123656.13</v>
      </c>
      <c r="AD551" s="170">
        <v>271.63499999999999</v>
      </c>
    </row>
    <row r="552" spans="28:30">
      <c r="AB552" s="169">
        <v>414418.09499999997</v>
      </c>
      <c r="AC552" s="169">
        <v>123656.13</v>
      </c>
      <c r="AD552" s="170">
        <v>110.2</v>
      </c>
    </row>
    <row r="553" spans="28:30">
      <c r="AB553" s="169">
        <v>442045.96799999999</v>
      </c>
      <c r="AC553" s="169">
        <v>123656.13</v>
      </c>
      <c r="AD553" s="170">
        <v>300.065</v>
      </c>
    </row>
    <row r="554" spans="28:30">
      <c r="AB554" s="169">
        <v>469673.84100000001</v>
      </c>
      <c r="AC554" s="169">
        <v>123656.13</v>
      </c>
      <c r="AD554" s="170">
        <v>350.505</v>
      </c>
    </row>
    <row r="555" spans="28:30">
      <c r="AB555" s="169">
        <v>497301.71399999998</v>
      </c>
      <c r="AC555" s="169">
        <v>123656.13</v>
      </c>
      <c r="AD555" s="170">
        <v>13.965</v>
      </c>
    </row>
    <row r="556" spans="28:30">
      <c r="AB556" s="169">
        <v>524929.58700000006</v>
      </c>
      <c r="AC556" s="169">
        <v>123656.13</v>
      </c>
      <c r="AD556" s="170">
        <v>8.6549999999999994</v>
      </c>
    </row>
    <row r="557" spans="28:30">
      <c r="AB557" s="169">
        <v>552557.46</v>
      </c>
      <c r="AC557" s="169">
        <v>123656.13</v>
      </c>
      <c r="AD557" s="170">
        <v>2.71</v>
      </c>
    </row>
    <row r="558" spans="28:30">
      <c r="AB558" s="169">
        <v>580185.33299999998</v>
      </c>
      <c r="AC558" s="169">
        <v>123656.13</v>
      </c>
      <c r="AD558" s="170">
        <v>6.02</v>
      </c>
    </row>
    <row r="559" spans="28:30">
      <c r="AB559" s="169">
        <v>607813.20600000001</v>
      </c>
      <c r="AC559" s="169">
        <v>123656.13</v>
      </c>
      <c r="AD559" s="170">
        <v>2.0750000000000002</v>
      </c>
    </row>
    <row r="560" spans="28:30">
      <c r="AB560" s="169">
        <v>635441.07900000003</v>
      </c>
      <c r="AC560" s="169">
        <v>123656.13</v>
      </c>
      <c r="AD560" s="170">
        <v>8.3000000000000007</v>
      </c>
    </row>
    <row r="561" spans="28:30">
      <c r="AB561" s="169">
        <v>690696.82499999995</v>
      </c>
      <c r="AC561" s="169">
        <v>123656.13</v>
      </c>
      <c r="AD561" s="170">
        <v>1.07</v>
      </c>
    </row>
    <row r="562" spans="28:30">
      <c r="AB562" s="169">
        <v>0.1330700007</v>
      </c>
      <c r="AC562" s="169">
        <v>144970.79999999999</v>
      </c>
      <c r="AD562" s="170">
        <v>48280800</v>
      </c>
    </row>
    <row r="563" spans="28:30">
      <c r="AB563" s="169">
        <v>27628.027699999999</v>
      </c>
      <c r="AC563" s="169">
        <v>144970.79999999999</v>
      </c>
      <c r="AD563" s="170">
        <v>4397940</v>
      </c>
    </row>
    <row r="564" spans="28:30">
      <c r="AB564" s="169">
        <v>55255.900699999998</v>
      </c>
      <c r="AC564" s="169">
        <v>144970.79999999999</v>
      </c>
      <c r="AD564" s="170">
        <v>1895800</v>
      </c>
    </row>
    <row r="565" spans="28:30">
      <c r="AB565" s="169">
        <v>82883.619000000006</v>
      </c>
      <c r="AC565" s="169">
        <v>144970.79999999999</v>
      </c>
      <c r="AD565" s="170">
        <v>948993</v>
      </c>
    </row>
    <row r="566" spans="28:30">
      <c r="AB566" s="169">
        <v>110511.492</v>
      </c>
      <c r="AC566" s="169">
        <v>144970.79999999999</v>
      </c>
      <c r="AD566" s="170">
        <v>373422</v>
      </c>
    </row>
    <row r="567" spans="28:30">
      <c r="AB567" s="169">
        <v>138139.36499999999</v>
      </c>
      <c r="AC567" s="169">
        <v>144970.79999999999</v>
      </c>
      <c r="AD567" s="170">
        <v>147580</v>
      </c>
    </row>
    <row r="568" spans="28:30">
      <c r="AB568" s="169">
        <v>165767.23800000001</v>
      </c>
      <c r="AC568" s="169">
        <v>144970.79999999999</v>
      </c>
      <c r="AD568" s="170">
        <v>63014.400000000001</v>
      </c>
    </row>
    <row r="569" spans="28:30">
      <c r="AB569" s="169">
        <v>193395.111</v>
      </c>
      <c r="AC569" s="169">
        <v>144970.79999999999</v>
      </c>
      <c r="AD569" s="170">
        <v>26026.799999999999</v>
      </c>
    </row>
    <row r="570" spans="28:30">
      <c r="AB570" s="169">
        <v>221022.984</v>
      </c>
      <c r="AC570" s="169">
        <v>144970.79999999999</v>
      </c>
      <c r="AD570" s="170">
        <v>6263.17</v>
      </c>
    </row>
    <row r="571" spans="28:30">
      <c r="AB571" s="169">
        <v>248650.85699999999</v>
      </c>
      <c r="AC571" s="169">
        <v>144970.79999999999</v>
      </c>
      <c r="AD571" s="170">
        <v>2844.09</v>
      </c>
    </row>
    <row r="572" spans="28:30">
      <c r="AB572" s="169">
        <v>276278.73</v>
      </c>
      <c r="AC572" s="169">
        <v>144970.79999999999</v>
      </c>
      <c r="AD572" s="170">
        <v>1656.4</v>
      </c>
    </row>
    <row r="573" spans="28:30">
      <c r="AB573" s="169">
        <v>303906.603</v>
      </c>
      <c r="AC573" s="169">
        <v>144970.79999999999</v>
      </c>
      <c r="AD573" s="170">
        <v>605.30999999999995</v>
      </c>
    </row>
    <row r="574" spans="28:30">
      <c r="AB574" s="169">
        <v>331534.47600000002</v>
      </c>
      <c r="AC574" s="169">
        <v>144970.79999999999</v>
      </c>
      <c r="AD574" s="170">
        <v>200.08500000000001</v>
      </c>
    </row>
    <row r="575" spans="28:30">
      <c r="AB575" s="169">
        <v>359162.34899999999</v>
      </c>
      <c r="AC575" s="169">
        <v>144970.79999999999</v>
      </c>
      <c r="AD575" s="170">
        <v>97.14</v>
      </c>
    </row>
    <row r="576" spans="28:30">
      <c r="AB576" s="169">
        <v>386790.22200000001</v>
      </c>
      <c r="AC576" s="169">
        <v>144970.79999999999</v>
      </c>
      <c r="AD576" s="170">
        <v>44.82</v>
      </c>
    </row>
    <row r="577" spans="28:30">
      <c r="AB577" s="169">
        <v>414418.09499999997</v>
      </c>
      <c r="AC577" s="169">
        <v>144970.79999999999</v>
      </c>
      <c r="AD577" s="170">
        <v>32.700000000000003</v>
      </c>
    </row>
    <row r="578" spans="28:30">
      <c r="AB578" s="169">
        <v>442045.96799999999</v>
      </c>
      <c r="AC578" s="169">
        <v>144970.79999999999</v>
      </c>
      <c r="AD578" s="170">
        <v>9.7200000000000006</v>
      </c>
    </row>
    <row r="579" spans="28:30">
      <c r="AB579" s="169">
        <v>469673.84100000001</v>
      </c>
      <c r="AC579" s="169">
        <v>144970.79999999999</v>
      </c>
      <c r="AD579" s="170">
        <v>1.655</v>
      </c>
    </row>
    <row r="580" spans="28:30">
      <c r="AB580" s="169">
        <v>524929.58700000006</v>
      </c>
      <c r="AC580" s="169">
        <v>144970.79999999999</v>
      </c>
      <c r="AD580" s="170">
        <v>77.765000000000001</v>
      </c>
    </row>
    <row r="581" spans="28:30">
      <c r="AB581" s="169">
        <v>0.1330700007</v>
      </c>
      <c r="AC581" s="169">
        <v>166285.6</v>
      </c>
      <c r="AD581" s="170">
        <v>46684300</v>
      </c>
    </row>
    <row r="582" spans="28:30">
      <c r="AB582" s="169">
        <v>27628.027699999999</v>
      </c>
      <c r="AC582" s="169">
        <v>166285.6</v>
      </c>
      <c r="AD582" s="170">
        <v>3618830</v>
      </c>
    </row>
    <row r="583" spans="28:30">
      <c r="AB583" s="169">
        <v>55255.900699999998</v>
      </c>
      <c r="AC583" s="169">
        <v>166285.6</v>
      </c>
      <c r="AD583" s="170">
        <v>1981210</v>
      </c>
    </row>
    <row r="584" spans="28:30">
      <c r="AB584" s="169">
        <v>82883.619000000006</v>
      </c>
      <c r="AC584" s="169">
        <v>166285.6</v>
      </c>
      <c r="AD584" s="170">
        <v>983771</v>
      </c>
    </row>
    <row r="585" spans="28:30">
      <c r="AB585" s="169">
        <v>110511.492</v>
      </c>
      <c r="AC585" s="169">
        <v>166285.6</v>
      </c>
      <c r="AD585" s="170">
        <v>356303</v>
      </c>
    </row>
    <row r="586" spans="28:30">
      <c r="AB586" s="169">
        <v>138139.36499999999</v>
      </c>
      <c r="AC586" s="169">
        <v>166285.6</v>
      </c>
      <c r="AD586" s="170">
        <v>131990</v>
      </c>
    </row>
    <row r="587" spans="28:30">
      <c r="AB587" s="169">
        <v>165767.23800000001</v>
      </c>
      <c r="AC587" s="169">
        <v>166285.6</v>
      </c>
      <c r="AD587" s="170">
        <v>45092.5</v>
      </c>
    </row>
    <row r="588" spans="28:30">
      <c r="AB588" s="169">
        <v>193395.111</v>
      </c>
      <c r="AC588" s="169">
        <v>166285.6</v>
      </c>
      <c r="AD588" s="170">
        <v>12867.3</v>
      </c>
    </row>
    <row r="589" spans="28:30">
      <c r="AB589" s="169">
        <v>221022.984</v>
      </c>
      <c r="AC589" s="169">
        <v>166285.6</v>
      </c>
      <c r="AD589" s="170">
        <v>3075.67</v>
      </c>
    </row>
    <row r="590" spans="28:30">
      <c r="AB590" s="169">
        <v>248650.85699999999</v>
      </c>
      <c r="AC590" s="169">
        <v>166285.6</v>
      </c>
      <c r="AD590" s="170">
        <v>699.17</v>
      </c>
    </row>
    <row r="591" spans="28:30">
      <c r="AB591" s="169">
        <v>276278.73</v>
      </c>
      <c r="AC591" s="169">
        <v>166285.6</v>
      </c>
      <c r="AD591" s="170">
        <v>364.58499999999998</v>
      </c>
    </row>
    <row r="592" spans="28:30">
      <c r="AB592" s="169">
        <v>303906.603</v>
      </c>
      <c r="AC592" s="169">
        <v>166285.6</v>
      </c>
      <c r="AD592" s="170">
        <v>159.20500000000001</v>
      </c>
    </row>
    <row r="593" spans="28:30">
      <c r="AB593" s="169">
        <v>331534.47600000002</v>
      </c>
      <c r="AC593" s="169">
        <v>166285.6</v>
      </c>
      <c r="AD593" s="170">
        <v>151.79</v>
      </c>
    </row>
    <row r="594" spans="28:30">
      <c r="AB594" s="169">
        <v>359162.34899999999</v>
      </c>
      <c r="AC594" s="169">
        <v>166285.6</v>
      </c>
      <c r="AD594" s="170">
        <v>76.58</v>
      </c>
    </row>
    <row r="595" spans="28:30">
      <c r="AB595" s="169">
        <v>386790.22200000001</v>
      </c>
      <c r="AC595" s="169">
        <v>166285.6</v>
      </c>
      <c r="AD595" s="170">
        <v>35.645000000000003</v>
      </c>
    </row>
    <row r="596" spans="28:30">
      <c r="AB596" s="169">
        <v>0.1330700007</v>
      </c>
      <c r="AC596" s="169">
        <v>187600.4</v>
      </c>
      <c r="AD596" s="170">
        <v>43783600</v>
      </c>
    </row>
    <row r="597" spans="28:30">
      <c r="AB597" s="169">
        <v>27628.027699999999</v>
      </c>
      <c r="AC597" s="169">
        <v>187600.4</v>
      </c>
      <c r="AD597" s="170">
        <v>3339240</v>
      </c>
    </row>
    <row r="598" spans="28:30">
      <c r="AB598" s="169">
        <v>55255.900699999998</v>
      </c>
      <c r="AC598" s="169">
        <v>187600.4</v>
      </c>
      <c r="AD598" s="170">
        <v>1797130</v>
      </c>
    </row>
    <row r="599" spans="28:30">
      <c r="AB599" s="169">
        <v>82883.619000000006</v>
      </c>
      <c r="AC599" s="169">
        <v>187600.4</v>
      </c>
      <c r="AD599" s="170">
        <v>745734</v>
      </c>
    </row>
    <row r="600" spans="28:30">
      <c r="AB600" s="169">
        <v>110511.492</v>
      </c>
      <c r="AC600" s="169">
        <v>187600.4</v>
      </c>
      <c r="AD600" s="170">
        <v>267329</v>
      </c>
    </row>
    <row r="601" spans="28:30">
      <c r="AB601" s="169">
        <v>138139.36499999999</v>
      </c>
      <c r="AC601" s="169">
        <v>187600.4</v>
      </c>
      <c r="AD601" s="170">
        <v>81840.3</v>
      </c>
    </row>
    <row r="602" spans="28:30">
      <c r="AB602" s="169">
        <v>165767.23800000001</v>
      </c>
      <c r="AC602" s="169">
        <v>187600.4</v>
      </c>
      <c r="AD602" s="170">
        <v>29969.9</v>
      </c>
    </row>
    <row r="603" spans="28:30">
      <c r="AB603" s="169">
        <v>193395.111</v>
      </c>
      <c r="AC603" s="169">
        <v>187600.4</v>
      </c>
      <c r="AD603" s="170">
        <v>7263.94</v>
      </c>
    </row>
    <row r="604" spans="28:30">
      <c r="AB604" s="169">
        <v>221022.984</v>
      </c>
      <c r="AC604" s="169">
        <v>187600.4</v>
      </c>
      <c r="AD604" s="170">
        <v>6742.18</v>
      </c>
    </row>
    <row r="605" spans="28:30">
      <c r="AB605" s="169">
        <v>248650.85699999999</v>
      </c>
      <c r="AC605" s="169">
        <v>187600.4</v>
      </c>
      <c r="AD605" s="170">
        <v>619.05999999999995</v>
      </c>
    </row>
    <row r="606" spans="28:30">
      <c r="AB606" s="169">
        <v>276278.73</v>
      </c>
      <c r="AC606" s="169">
        <v>187600.4</v>
      </c>
      <c r="AD606" s="170">
        <v>245.67500000000001</v>
      </c>
    </row>
    <row r="607" spans="28:30">
      <c r="AB607" s="169">
        <v>303906.603</v>
      </c>
      <c r="AC607" s="169">
        <v>187600.4</v>
      </c>
      <c r="AD607" s="170">
        <v>86.844999999999999</v>
      </c>
    </row>
    <row r="608" spans="28:30">
      <c r="AB608" s="169">
        <v>331534.47600000002</v>
      </c>
      <c r="AC608" s="169">
        <v>187600.4</v>
      </c>
      <c r="AD608" s="170">
        <v>132.245</v>
      </c>
    </row>
    <row r="609" spans="28:30">
      <c r="AB609" s="169">
        <v>359162.34899999999</v>
      </c>
      <c r="AC609" s="169">
        <v>187600.4</v>
      </c>
      <c r="AD609" s="170">
        <v>35.11</v>
      </c>
    </row>
    <row r="610" spans="28:30">
      <c r="AB610" s="169">
        <v>386790.22200000001</v>
      </c>
      <c r="AC610" s="169">
        <v>187600.4</v>
      </c>
      <c r="AD610" s="170">
        <v>14.76</v>
      </c>
    </row>
    <row r="611" spans="28:30">
      <c r="AB611" s="169">
        <v>0.1330700007</v>
      </c>
      <c r="AC611" s="169">
        <v>208915.20000000001</v>
      </c>
      <c r="AD611" s="170">
        <v>40627800</v>
      </c>
    </row>
    <row r="612" spans="28:30">
      <c r="AB612" s="169">
        <v>27628.027699999999</v>
      </c>
      <c r="AC612" s="169">
        <v>208915.20000000001</v>
      </c>
      <c r="AD612" s="170">
        <v>2840930</v>
      </c>
    </row>
    <row r="613" spans="28:30">
      <c r="AB613" s="169">
        <v>55255.900699999998</v>
      </c>
      <c r="AC613" s="169">
        <v>208915.20000000001</v>
      </c>
      <c r="AD613" s="170">
        <v>1427730</v>
      </c>
    </row>
    <row r="614" spans="28:30">
      <c r="AB614" s="169">
        <v>82883.619000000006</v>
      </c>
      <c r="AC614" s="169">
        <v>208915.20000000001</v>
      </c>
      <c r="AD614" s="170">
        <v>468761</v>
      </c>
    </row>
    <row r="615" spans="28:30">
      <c r="AB615" s="169">
        <v>110511.492</v>
      </c>
      <c r="AC615" s="169">
        <v>208915.20000000001</v>
      </c>
      <c r="AD615" s="170">
        <v>149281</v>
      </c>
    </row>
    <row r="616" spans="28:30">
      <c r="AB616" s="169">
        <v>138139.36499999999</v>
      </c>
      <c r="AC616" s="169">
        <v>208915.20000000001</v>
      </c>
      <c r="AD616" s="170">
        <v>64316.1</v>
      </c>
    </row>
    <row r="617" spans="28:30">
      <c r="AB617" s="169">
        <v>165767.23800000001</v>
      </c>
      <c r="AC617" s="169">
        <v>208915.20000000001</v>
      </c>
      <c r="AD617" s="170">
        <v>22960.3</v>
      </c>
    </row>
    <row r="618" spans="28:30">
      <c r="AB618" s="169">
        <v>193395.111</v>
      </c>
      <c r="AC618" s="169">
        <v>208915.20000000001</v>
      </c>
      <c r="AD618" s="170">
        <v>10539.9</v>
      </c>
    </row>
    <row r="619" spans="28:30">
      <c r="AB619" s="169">
        <v>221022.984</v>
      </c>
      <c r="AC619" s="169">
        <v>208915.20000000001</v>
      </c>
      <c r="AD619" s="170">
        <v>2110.14</v>
      </c>
    </row>
    <row r="620" spans="28:30">
      <c r="AB620" s="169">
        <v>248650.85699999999</v>
      </c>
      <c r="AC620" s="169">
        <v>208915.20000000001</v>
      </c>
      <c r="AD620" s="170">
        <v>1275.6199999999999</v>
      </c>
    </row>
    <row r="621" spans="28:30">
      <c r="AB621" s="169">
        <v>276278.73</v>
      </c>
      <c r="AC621" s="169">
        <v>208915.20000000001</v>
      </c>
      <c r="AD621" s="170">
        <v>91.944999999999993</v>
      </c>
    </row>
    <row r="622" spans="28:30">
      <c r="AB622" s="169">
        <v>303906.603</v>
      </c>
      <c r="AC622" s="169">
        <v>208915.20000000001</v>
      </c>
      <c r="AD622" s="170">
        <v>33.99</v>
      </c>
    </row>
    <row r="623" spans="28:30">
      <c r="AB623" s="169">
        <v>331534.47600000002</v>
      </c>
      <c r="AC623" s="169">
        <v>208915.20000000001</v>
      </c>
      <c r="AD623" s="170">
        <v>2.355</v>
      </c>
    </row>
    <row r="624" spans="28:30">
      <c r="AB624" s="169">
        <v>359162.34899999999</v>
      </c>
      <c r="AC624" s="169">
        <v>208915.20000000001</v>
      </c>
      <c r="AD624" s="170">
        <v>12.09</v>
      </c>
    </row>
    <row r="625" spans="28:30">
      <c r="AB625" s="169">
        <v>386790.22200000001</v>
      </c>
      <c r="AC625" s="169">
        <v>208915.20000000001</v>
      </c>
      <c r="AD625" s="170">
        <v>7.98</v>
      </c>
    </row>
    <row r="626" spans="28:30">
      <c r="AB626" s="169">
        <v>414418.09499999997</v>
      </c>
      <c r="AC626" s="169">
        <v>208915.20000000001</v>
      </c>
      <c r="AD626" s="170">
        <v>0.91500000000000004</v>
      </c>
    </row>
    <row r="627" spans="28:30">
      <c r="AB627" s="169">
        <v>0.1330700007</v>
      </c>
      <c r="AC627" s="169">
        <v>230230</v>
      </c>
      <c r="AD627" s="170">
        <v>35777400</v>
      </c>
    </row>
    <row r="628" spans="28:30">
      <c r="AB628" s="169">
        <v>27628.027699999999</v>
      </c>
      <c r="AC628" s="169">
        <v>230230</v>
      </c>
      <c r="AD628" s="170">
        <v>2722360</v>
      </c>
    </row>
    <row r="629" spans="28:30">
      <c r="AB629" s="169">
        <v>55255.900699999998</v>
      </c>
      <c r="AC629" s="169">
        <v>230230</v>
      </c>
      <c r="AD629" s="170">
        <v>1097220</v>
      </c>
    </row>
    <row r="630" spans="28:30">
      <c r="AB630" s="169">
        <v>82883.619000000006</v>
      </c>
      <c r="AC630" s="169">
        <v>230230</v>
      </c>
      <c r="AD630" s="170">
        <v>308720</v>
      </c>
    </row>
    <row r="631" spans="28:30">
      <c r="AB631" s="169">
        <v>110511.492</v>
      </c>
      <c r="AC631" s="169">
        <v>230230</v>
      </c>
      <c r="AD631" s="170">
        <v>94976.7</v>
      </c>
    </row>
    <row r="632" spans="28:30">
      <c r="AB632" s="169">
        <v>138139.36499999999</v>
      </c>
      <c r="AC632" s="169">
        <v>230230</v>
      </c>
      <c r="AD632" s="170">
        <v>62864.800000000003</v>
      </c>
    </row>
    <row r="633" spans="28:30">
      <c r="AB633" s="169">
        <v>165767.23800000001</v>
      </c>
      <c r="AC633" s="169">
        <v>230230</v>
      </c>
      <c r="AD633" s="170">
        <v>29051.5</v>
      </c>
    </row>
    <row r="634" spans="28:30">
      <c r="AB634" s="169">
        <v>193395.111</v>
      </c>
      <c r="AC634" s="169">
        <v>230230</v>
      </c>
      <c r="AD634" s="170">
        <v>17863.7</v>
      </c>
    </row>
    <row r="635" spans="28:30">
      <c r="AB635" s="169">
        <v>221022.984</v>
      </c>
      <c r="AC635" s="169">
        <v>230230</v>
      </c>
      <c r="AD635" s="170">
        <v>2412.96</v>
      </c>
    </row>
    <row r="636" spans="28:30">
      <c r="AB636" s="169">
        <v>248650.85699999999</v>
      </c>
      <c r="AC636" s="169">
        <v>230230</v>
      </c>
      <c r="AD636" s="170">
        <v>44.48</v>
      </c>
    </row>
    <row r="637" spans="28:30">
      <c r="AB637" s="169">
        <v>276278.73</v>
      </c>
      <c r="AC637" s="169">
        <v>230230</v>
      </c>
      <c r="AD637" s="170">
        <v>83.26</v>
      </c>
    </row>
    <row r="638" spans="28:30">
      <c r="AB638" s="169">
        <v>0.1330700007</v>
      </c>
      <c r="AC638" s="169">
        <v>251543.5</v>
      </c>
      <c r="AD638" s="170">
        <v>40055300</v>
      </c>
    </row>
    <row r="639" spans="28:30">
      <c r="AB639" s="169">
        <v>27628.027699999999</v>
      </c>
      <c r="AC639" s="169">
        <v>251543.5</v>
      </c>
      <c r="AD639" s="170">
        <v>2986570</v>
      </c>
    </row>
    <row r="640" spans="28:30">
      <c r="AB640" s="169">
        <v>55255.900699999998</v>
      </c>
      <c r="AC640" s="169">
        <v>251543.5</v>
      </c>
      <c r="AD640" s="170">
        <v>1322270</v>
      </c>
    </row>
    <row r="641" spans="28:30">
      <c r="AB641" s="169">
        <v>82883.619000000006</v>
      </c>
      <c r="AC641" s="169">
        <v>251543.5</v>
      </c>
      <c r="AD641" s="170">
        <v>338932</v>
      </c>
    </row>
    <row r="642" spans="28:30">
      <c r="AB642" s="169">
        <v>110511.492</v>
      </c>
      <c r="AC642" s="169">
        <v>251543.5</v>
      </c>
      <c r="AD642" s="170">
        <v>102627</v>
      </c>
    </row>
    <row r="643" spans="28:30">
      <c r="AB643" s="169">
        <v>138139.36499999999</v>
      </c>
      <c r="AC643" s="169">
        <v>251543.5</v>
      </c>
      <c r="AD643" s="170">
        <v>64023</v>
      </c>
    </row>
    <row r="644" spans="28:30">
      <c r="AB644" s="169">
        <v>165767.23800000001</v>
      </c>
      <c r="AC644" s="169">
        <v>251543.5</v>
      </c>
      <c r="AD644" s="170">
        <v>21693.8</v>
      </c>
    </row>
    <row r="645" spans="28:30">
      <c r="AB645" s="169">
        <v>193395.111</v>
      </c>
      <c r="AC645" s="169">
        <v>251543.5</v>
      </c>
      <c r="AD645" s="170">
        <v>14335.1</v>
      </c>
    </row>
    <row r="646" spans="28:30">
      <c r="AB646" s="169">
        <v>221022.984</v>
      </c>
      <c r="AC646" s="169">
        <v>251543.5</v>
      </c>
      <c r="AD646" s="170">
        <v>3870.37</v>
      </c>
    </row>
    <row r="647" spans="28:30">
      <c r="AB647" s="169">
        <v>248650.85699999999</v>
      </c>
      <c r="AC647" s="169">
        <v>251543.5</v>
      </c>
      <c r="AD647" s="170">
        <v>188.92</v>
      </c>
    </row>
    <row r="648" spans="28:30">
      <c r="AB648" s="169">
        <v>276278.73</v>
      </c>
      <c r="AC648" s="169">
        <v>251543.5</v>
      </c>
      <c r="AD648" s="170">
        <v>34.005000000000003</v>
      </c>
    </row>
    <row r="649" spans="28:30">
      <c r="AB649" s="169">
        <v>0.1330700007</v>
      </c>
      <c r="AC649" s="169">
        <v>272858.3</v>
      </c>
      <c r="AD649" s="170">
        <v>35465200</v>
      </c>
    </row>
    <row r="650" spans="28:30">
      <c r="AB650" s="169">
        <v>27628.027699999999</v>
      </c>
      <c r="AC650" s="169">
        <v>272858.3</v>
      </c>
      <c r="AD650" s="170">
        <v>2800300</v>
      </c>
    </row>
    <row r="651" spans="28:30">
      <c r="AB651" s="169">
        <v>55255.900699999998</v>
      </c>
      <c r="AC651" s="169">
        <v>272858.3</v>
      </c>
      <c r="AD651" s="170">
        <v>1360230</v>
      </c>
    </row>
    <row r="652" spans="28:30">
      <c r="AB652" s="169">
        <v>82883.619000000006</v>
      </c>
      <c r="AC652" s="169">
        <v>272858.3</v>
      </c>
      <c r="AD652" s="170">
        <v>307601</v>
      </c>
    </row>
    <row r="653" spans="28:30">
      <c r="AB653" s="169">
        <v>110511.492</v>
      </c>
      <c r="AC653" s="169">
        <v>272858.3</v>
      </c>
      <c r="AD653" s="170">
        <v>60947.8</v>
      </c>
    </row>
    <row r="654" spans="28:30">
      <c r="AB654" s="169">
        <v>138139.36499999999</v>
      </c>
      <c r="AC654" s="169">
        <v>272858.3</v>
      </c>
      <c r="AD654" s="170">
        <v>39878.9</v>
      </c>
    </row>
    <row r="655" spans="28:30">
      <c r="AB655" s="169">
        <v>165767.23800000001</v>
      </c>
      <c r="AC655" s="169">
        <v>272858.3</v>
      </c>
      <c r="AD655" s="170">
        <v>21098.400000000001</v>
      </c>
    </row>
    <row r="656" spans="28:30">
      <c r="AB656" s="169">
        <v>193395.111</v>
      </c>
      <c r="AC656" s="169">
        <v>272858.3</v>
      </c>
      <c r="AD656" s="170">
        <v>4778.6899999999996</v>
      </c>
    </row>
    <row r="657" spans="28:30">
      <c r="AB657" s="169">
        <v>221022.984</v>
      </c>
      <c r="AC657" s="169">
        <v>272858.3</v>
      </c>
      <c r="AD657" s="170">
        <v>383.435</v>
      </c>
    </row>
    <row r="658" spans="28:30">
      <c r="AB658" s="169">
        <v>248650.85699999999</v>
      </c>
      <c r="AC658" s="169">
        <v>272858.3</v>
      </c>
      <c r="AD658" s="170">
        <v>25.88</v>
      </c>
    </row>
    <row r="659" spans="28:30">
      <c r="AB659" s="169">
        <v>276278.73</v>
      </c>
      <c r="AC659" s="169">
        <v>272858.3</v>
      </c>
      <c r="AD659" s="170">
        <v>0.88500000000000001</v>
      </c>
    </row>
    <row r="660" spans="28:30">
      <c r="AB660" s="169">
        <v>0.1330700007</v>
      </c>
      <c r="AC660" s="169">
        <v>294173.09999999998</v>
      </c>
      <c r="AD660" s="170">
        <v>24300700</v>
      </c>
    </row>
    <row r="661" spans="28:30">
      <c r="AB661" s="169">
        <v>27628.027699999999</v>
      </c>
      <c r="AC661" s="169">
        <v>294173.09999999998</v>
      </c>
      <c r="AD661" s="170">
        <v>2100900</v>
      </c>
    </row>
    <row r="662" spans="28:30">
      <c r="AB662" s="169">
        <v>55255.900699999998</v>
      </c>
      <c r="AC662" s="169">
        <v>294173.09999999998</v>
      </c>
      <c r="AD662" s="170">
        <v>811211</v>
      </c>
    </row>
    <row r="663" spans="28:30">
      <c r="AB663" s="169">
        <v>82883.619000000006</v>
      </c>
      <c r="AC663" s="169">
        <v>294173.09999999998</v>
      </c>
      <c r="AD663" s="170">
        <v>163029</v>
      </c>
    </row>
    <row r="664" spans="28:30">
      <c r="AB664" s="169">
        <v>110511.492</v>
      </c>
      <c r="AC664" s="169">
        <v>294173.09999999998</v>
      </c>
      <c r="AD664" s="170">
        <v>37947.599999999999</v>
      </c>
    </row>
    <row r="665" spans="28:30">
      <c r="AB665" s="169">
        <v>138139.36499999999</v>
      </c>
      <c r="AC665" s="169">
        <v>294173.09999999998</v>
      </c>
      <c r="AD665" s="170">
        <v>10170.799999999999</v>
      </c>
    </row>
    <row r="666" spans="28:30">
      <c r="AB666" s="169">
        <v>165767.23800000001</v>
      </c>
      <c r="AC666" s="169">
        <v>294173.09999999998</v>
      </c>
      <c r="AD666" s="170">
        <v>1811.69</v>
      </c>
    </row>
    <row r="667" spans="28:30">
      <c r="AB667" s="169">
        <v>193395.111</v>
      </c>
      <c r="AC667" s="169">
        <v>294173.09999999998</v>
      </c>
      <c r="AD667" s="170">
        <v>33.475000000000001</v>
      </c>
    </row>
    <row r="668" spans="28:30">
      <c r="AB668" s="169">
        <v>221022.984</v>
      </c>
      <c r="AC668" s="169">
        <v>294173.09999999998</v>
      </c>
      <c r="AD668" s="170">
        <v>2.9649999999999999</v>
      </c>
    </row>
    <row r="669" spans="28:30">
      <c r="AB669" s="169">
        <v>248650.85699999999</v>
      </c>
      <c r="AC669" s="169">
        <v>294173.09999999998</v>
      </c>
      <c r="AD669" s="170">
        <v>3.7</v>
      </c>
    </row>
    <row r="670" spans="28:30">
      <c r="AB670" s="169">
        <v>0.1330700007</v>
      </c>
      <c r="AC670" s="169">
        <v>315487.90000000002</v>
      </c>
      <c r="AD670" s="170">
        <v>9542830</v>
      </c>
    </row>
    <row r="671" spans="28:30">
      <c r="AB671" s="169">
        <v>27628.027699999999</v>
      </c>
      <c r="AC671" s="169">
        <v>315487.90000000002</v>
      </c>
      <c r="AD671" s="170">
        <v>686830</v>
      </c>
    </row>
    <row r="672" spans="28:30">
      <c r="AB672" s="169">
        <v>55255.900699999998</v>
      </c>
      <c r="AC672" s="169">
        <v>315487.90000000002</v>
      </c>
      <c r="AD672" s="170">
        <v>201361</v>
      </c>
    </row>
    <row r="673" spans="28:30">
      <c r="AB673" s="169">
        <v>82883.619000000006</v>
      </c>
      <c r="AC673" s="169">
        <v>315487.90000000002</v>
      </c>
      <c r="AD673" s="170">
        <v>18592</v>
      </c>
    </row>
    <row r="674" spans="28:30">
      <c r="AB674" s="169">
        <v>110511.492</v>
      </c>
      <c r="AC674" s="169">
        <v>315487.90000000002</v>
      </c>
      <c r="AD674" s="170">
        <v>2353.5</v>
      </c>
    </row>
    <row r="675" spans="28:30">
      <c r="AB675" s="169">
        <v>138139.36499999999</v>
      </c>
      <c r="AC675" s="169">
        <v>315487.90000000002</v>
      </c>
      <c r="AD675" s="170">
        <v>27.72</v>
      </c>
    </row>
    <row r="676" spans="28:30">
      <c r="AB676" s="169">
        <v>165767.23800000001</v>
      </c>
      <c r="AC676" s="169">
        <v>315487.90000000002</v>
      </c>
      <c r="AD676" s="170">
        <v>0.73499999999999999</v>
      </c>
    </row>
    <row r="677" spans="28:30">
      <c r="AB677" s="169">
        <v>193395.111</v>
      </c>
      <c r="AC677" s="169">
        <v>315487.90000000002</v>
      </c>
      <c r="AD677" s="170">
        <v>0.73499999999999999</v>
      </c>
    </row>
    <row r="678" spans="28:30">
      <c r="AB678" s="169">
        <v>0.1330700007</v>
      </c>
      <c r="AC678" s="169">
        <v>336802.7</v>
      </c>
      <c r="AD678" s="170">
        <v>643371</v>
      </c>
    </row>
    <row r="679" spans="28:30">
      <c r="AB679" s="169">
        <v>27628.027699999999</v>
      </c>
      <c r="AC679" s="169">
        <v>336802.7</v>
      </c>
      <c r="AD679" s="170">
        <v>2587.0500000000002</v>
      </c>
    </row>
    <row r="680" spans="28:30">
      <c r="AB680" s="169">
        <v>82883.619000000006</v>
      </c>
      <c r="AC680" s="169">
        <v>336802.7</v>
      </c>
      <c r="AD680" s="170">
        <v>3.5550000000000002</v>
      </c>
    </row>
    <row r="681" spans="28:30">
      <c r="AB681" s="169">
        <v>0.1330700007</v>
      </c>
      <c r="AC681" s="169">
        <v>358117.5</v>
      </c>
      <c r="AD681" s="170">
        <v>616.04</v>
      </c>
    </row>
    <row r="682" spans="28:30">
      <c r="AB682" s="169">
        <v>0.1330700007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">
    <cfRule type="cellIs" dxfId="15" priority="24" operator="notBetween">
      <formula>-0.001</formula>
      <formula>0.001</formula>
    </cfRule>
  </conditionalFormatting>
  <conditionalFormatting sqref="G36:G38">
    <cfRule type="cellIs" dxfId="14" priority="23" operator="notBetween">
      <formula>-0.001</formula>
      <formula>0.001</formula>
    </cfRule>
  </conditionalFormatting>
  <conditionalFormatting sqref="G48:G53">
    <cfRule type="cellIs" dxfId="13" priority="22" operator="notBetween">
      <formula>-0.001</formula>
      <formula>0.001</formula>
    </cfRule>
  </conditionalFormatting>
  <conditionalFormatting sqref="G60:G61">
    <cfRule type="cellIs" dxfId="12" priority="21" operator="notBetween">
      <formula>-0.001</formula>
      <formula>0.001</formula>
    </cfRule>
  </conditionalFormatting>
  <conditionalFormatting sqref="G67:G72">
    <cfRule type="cellIs" dxfId="11" priority="10" operator="notBetween">
      <formula>-0.001</formula>
      <formula>0.001</formula>
    </cfRule>
  </conditionalFormatting>
  <conditionalFormatting sqref="G76:G79">
    <cfRule type="cellIs" dxfId="10" priority="9" operator="notBetween">
      <formula>-0.001</formula>
      <formula>0.001</formula>
    </cfRule>
  </conditionalFormatting>
  <conditionalFormatting sqref="G81:G85">
    <cfRule type="cellIs" dxfId="9" priority="19" operator="notBetween">
      <formula>-0.001</formula>
      <formula>0.001</formula>
    </cfRule>
  </conditionalFormatting>
  <conditionalFormatting sqref="G87:G93">
    <cfRule type="cellIs" dxfId="8" priority="7" operator="notBetween">
      <formula>-0.001</formula>
      <formula>0.001</formula>
    </cfRule>
  </conditionalFormatting>
  <conditionalFormatting sqref="G95:G96">
    <cfRule type="cellIs" dxfId="7" priority="17" operator="notBetween">
      <formula>-0.001</formula>
      <formula>0.001</formula>
    </cfRule>
  </conditionalFormatting>
  <conditionalFormatting sqref="G98:G102">
    <cfRule type="cellIs" dxfId="6" priority="16" operator="notBetween">
      <formula>-0.001</formula>
      <formula>0.001</formula>
    </cfRule>
  </conditionalFormatting>
  <conditionalFormatting sqref="G105">
    <cfRule type="cellIs" dxfId="5" priority="15" operator="notBetween">
      <formula>-0.001</formula>
      <formula>0.001</formula>
    </cfRule>
  </conditionalFormatting>
  <conditionalFormatting sqref="G107:G109">
    <cfRule type="cellIs" dxfId="4" priority="14" operator="notBetween">
      <formula>-0.001</formula>
      <formula>0.001</formula>
    </cfRule>
  </conditionalFormatting>
  <conditionalFormatting sqref="G111">
    <cfRule type="cellIs" dxfId="3" priority="3" operator="notBetween">
      <formula>-0.001</formula>
      <formula>0.001</formula>
    </cfRule>
  </conditionalFormatting>
  <conditionalFormatting sqref="G113:G114">
    <cfRule type="cellIs" dxfId="2" priority="13" operator="notBetween">
      <formula>-0.001</formula>
      <formula>0.001</formula>
    </cfRule>
  </conditionalFormatting>
  <conditionalFormatting sqref="G118:G134">
    <cfRule type="cellIs" dxfId="1" priority="4" operator="notBetween">
      <formula>-0.001</formula>
      <formula>0.001</formula>
    </cfRule>
  </conditionalFormatting>
  <conditionalFormatting sqref="G136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379</vt:i4>
      </vt:variant>
    </vt:vector>
  </HeadingPairs>
  <TitlesOfParts>
    <vt:vector size="384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Gap120deg!ftot</vt:lpstr>
      <vt:lpstr>Gap30deg!ftot</vt:lpstr>
      <vt:lpstr>Gap60deg!ftot</vt:lpstr>
      <vt:lpstr>Gap90deg!ftot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2024-11-05T07:51:21Z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