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NiklasSellmann\Mein Ordner\MyTools\pyflange\validations\flangesegments.PolynominalTFlangeSegment\"/>
    </mc:Choice>
  </mc:AlternateContent>
  <xr:revisionPtr revIDLastSave="0" documentId="13_ncr:1_{5C2075C5-2740-410C-B221-373DED7BE5BA}" xr6:coauthVersionLast="47" xr6:coauthVersionMax="47" xr10:uidLastSave="{00000000-0000-0000-0000-000000000000}"/>
  <bookViews>
    <workbookView xWindow="-120" yWindow="-120" windowWidth="29040" windowHeight="1584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Gap120deg!$J$162</definedName>
    <definedName name="a_prime" localSheetId="0">Gap30deg!$J$162</definedName>
    <definedName name="a_prime" localSheetId="1">Gap60deg!$J$162</definedName>
    <definedName name="a_prime" localSheetId="2">Gap90deg!$J$162</definedName>
    <definedName name="a_star" localSheetId="3">Gap120deg!$J$163</definedName>
    <definedName name="a_star" localSheetId="0">Gap30deg!$J$163</definedName>
    <definedName name="a_star" localSheetId="1">Gap60deg!$J$163</definedName>
    <definedName name="a_star" localSheetId="2">Gap90deg!$J$163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Gap120deg!$J$158</definedName>
    <definedName name="bolt.As" localSheetId="0">Gap30deg!$J$158</definedName>
    <definedName name="bolt.As" localSheetId="1">Gap60deg!$J$158</definedName>
    <definedName name="bolt.As" localSheetId="2">Gap90deg!$J$158</definedName>
    <definedName name="bolt.axial_stiffness" localSheetId="3">Gap120deg!$J$156</definedName>
    <definedName name="bolt.axial_stiffness" localSheetId="0">Gap30deg!$J$156</definedName>
    <definedName name="bolt.axial_stiffness" localSheetId="1">Gap60deg!$J$156</definedName>
    <definedName name="bolt.axial_stiffness" localSheetId="2">Gap90deg!$J$156</definedName>
    <definedName name="bolt.bending_stiffness" localSheetId="3">Gap120deg!$J$157</definedName>
    <definedName name="bolt.bending_stiffness" localSheetId="0">Gap30deg!$J$157</definedName>
    <definedName name="bolt.bending_stiffness" localSheetId="1">Gap60deg!$J$157</definedName>
    <definedName name="bolt.bending_stiffness" localSheetId="2">Gap90deg!$J$157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Gap120deg!$J$165</definedName>
    <definedName name="clamped_parts_stiffness" localSheetId="0">Gap30deg!$J$165</definedName>
    <definedName name="clamped_parts_stiffness" localSheetId="1">Gap60deg!$J$165</definedName>
    <definedName name="clamped_parts_stiffness" localSheetId="2">Gap90deg!$J$165</definedName>
    <definedName name="Damage" localSheetId="3">Gap120deg!$J$176</definedName>
    <definedName name="Damage" localSheetId="0">Gap30deg!$J$176</definedName>
    <definedName name="Damage" localSheetId="1">Gap60deg!$J$176</definedName>
    <definedName name="Damage" localSheetId="2">Gap90deg!$J$176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Gap120deg!$J$148</definedName>
    <definedName name="DZ_gap" localSheetId="0">Gap30deg!$J$148</definedName>
    <definedName name="DZ_gap" localSheetId="1">Gap60deg!$J$148</definedName>
    <definedName name="DZ_gap" localSheetId="2">Gap90deg!$J$148</definedName>
    <definedName name="DZ_gap_c" localSheetId="3">Gap120deg!$J$149</definedName>
    <definedName name="DZ_gap_c" localSheetId="0">Gap30deg!$J$149</definedName>
    <definedName name="DZ_gap_c" localSheetId="1">Gap60deg!$J$149</definedName>
    <definedName name="DZ_gap_c" localSheetId="2">Gap90deg!$J$149</definedName>
    <definedName name="DZ_gap_inclination" localSheetId="3">Gap120deg!$J$147</definedName>
    <definedName name="DZ_gap_inclination" localSheetId="0">Gap30deg!$J$147</definedName>
    <definedName name="DZ_gap_inclination" localSheetId="1">Gap60deg!$J$147</definedName>
    <definedName name="DZ_gap_inclination" localSheetId="2">Gap90deg!$J$147</definedName>
    <definedName name="DZ_gap_tot" localSheetId="3">Gap120deg!$J$150</definedName>
    <definedName name="DZ_gap_tot" localSheetId="0">Gap30deg!$J$150</definedName>
    <definedName name="DZ_gap_tot" localSheetId="1">Gap60deg!$J$150</definedName>
    <definedName name="DZ_gap_tot" localSheetId="2">Gap90deg!$J$150</definedName>
    <definedName name="DZdwDZ" localSheetId="3">Gap120deg!$J$169</definedName>
    <definedName name="DZdwDZ" localSheetId="0">Gap30deg!$J$169</definedName>
    <definedName name="DZdwDZ" localSheetId="1">Gap60deg!$J$169</definedName>
    <definedName name="DZdwDZ" localSheetId="2">Gap90deg!$J$169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_V_c" localSheetId="3">Gap120deg!$J$168</definedName>
    <definedName name="F_V_c" localSheetId="0">Gap30deg!$J$168</definedName>
    <definedName name="F_V_c" localSheetId="1">Gap60deg!$J$168</definedName>
    <definedName name="F_V_c" localSheetId="2">Gap90deg!$J$168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Gap120deg!$J$161</definedName>
    <definedName name="gap.angle" localSheetId="0">Gap30deg!$J$161</definedName>
    <definedName name="gap.angle" localSheetId="1">Gap60deg!$J$161</definedName>
    <definedName name="gap.angle" localSheetId="2">Gap90deg!$J$161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Gap120deg!$J$164</definedName>
    <definedName name="I_tg" localSheetId="0">Gap30deg!$J$164</definedName>
    <definedName name="I_tg" localSheetId="1">Gap60deg!$J$164</definedName>
    <definedName name="I_tg" localSheetId="2">Gap90deg!$J$164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MZT1_" localSheetId="3">Gap120deg!$J$172</definedName>
    <definedName name="MZT1_" localSheetId="0">Gap30deg!$J$172</definedName>
    <definedName name="MZT1_" localSheetId="1">Gap60deg!$J$172</definedName>
    <definedName name="MZT1_" localSheetId="2">Gap90deg!$J$172</definedName>
    <definedName name="MZT2_" localSheetId="3">Gap120deg!$J$175</definedName>
    <definedName name="MZT2_" localSheetId="0">Gap30deg!$J$175</definedName>
    <definedName name="MZT2_" localSheetId="1">Gap60deg!$J$175</definedName>
    <definedName name="MZT2_" localSheetId="2">Gap90deg!$J$175</definedName>
    <definedName name="MZThigh1" localSheetId="3">Gap120deg!$J$171</definedName>
    <definedName name="MZThigh1" localSheetId="0">Gap30deg!$J$171</definedName>
    <definedName name="MZThigh1" localSheetId="1">Gap60deg!$J$171</definedName>
    <definedName name="MZThigh1" localSheetId="2">Gap90deg!$J$171</definedName>
    <definedName name="MZThigh2" localSheetId="3">Gap120deg!$J$174</definedName>
    <definedName name="MZThigh2" localSheetId="0">Gap30deg!$J$174</definedName>
    <definedName name="MZThigh2" localSheetId="1">Gap60deg!$J$174</definedName>
    <definedName name="MZThigh2" localSheetId="2">Gap90deg!$J$174</definedName>
    <definedName name="MZTlow1" localSheetId="3">Gap120deg!$J$170</definedName>
    <definedName name="MZTlow1" localSheetId="0">Gap30deg!$J$170</definedName>
    <definedName name="MZTlow1" localSheetId="1">Gap60deg!$J$170</definedName>
    <definedName name="MZTlow1" localSheetId="2">Gap90deg!$J$170</definedName>
    <definedName name="MZTlow2" localSheetId="3">Gap120deg!$J$173</definedName>
    <definedName name="MZTlow2" localSheetId="0">Gap30deg!$J$173</definedName>
    <definedName name="MZTlow2" localSheetId="1">Gap60deg!$J$173</definedName>
    <definedName name="MZTlow2" localSheetId="2">Gap90deg!$J$173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Gap120deg!$J$153</definedName>
    <definedName name="polynomial_initial_slope" localSheetId="0">Gap30deg!$J$153</definedName>
    <definedName name="polynomial_initial_slope" localSheetId="1">Gap60deg!$J$153</definedName>
    <definedName name="polynomial_initial_slope" localSheetId="2">Gap90deg!$J$153</definedName>
    <definedName name="Print_Area" localSheetId="3">Gap120deg!$A$11:$K$177</definedName>
    <definedName name="Print_Area" localSheetId="0">Gap30deg!$A$11:$K$177</definedName>
    <definedName name="Print_Area" localSheetId="1">Gap60deg!$A$11:$K$177</definedName>
    <definedName name="Print_Area" localSheetId="2">Gap90deg!$A$11:$K$177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Gap120deg!$J$166</definedName>
    <definedName name="true_force_initial_slope" localSheetId="0">Gap30deg!$J$166</definedName>
    <definedName name="true_force_initial_slope" localSheetId="1">Gap60deg!$J$166</definedName>
    <definedName name="true_force_initial_slope" localSheetId="2">Gap90deg!$J$166</definedName>
    <definedName name="true_moment_initial_slope" localSheetId="3">Gap120deg!$J$167</definedName>
    <definedName name="true_moment_initial_slope" localSheetId="0">Gap30deg!$J$167</definedName>
    <definedName name="true_moment_initial_slope" localSheetId="1">Gap60deg!$J$167</definedName>
    <definedName name="true_moment_initial_slope" localSheetId="2">Gap90deg!$J$167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2_td" localSheetId="3">Gap120deg!$J$146</definedName>
    <definedName name="Z_2_td" localSheetId="0">Gap30deg!$J$146</definedName>
    <definedName name="Z_2_td" localSheetId="1">Gap60deg!$J$146</definedName>
    <definedName name="Z_2_td" localSheetId="2">Gap90deg!$J$146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B28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F112" i="16" a="1"/>
  <c r="F78" i="16" a="1"/>
  <c r="F126" i="16" a="1"/>
  <c r="F124" i="16" a="1"/>
  <c r="F122" i="16" a="1"/>
  <c r="F71" i="16" a="1"/>
  <c r="F92" i="16" a="1"/>
  <c r="F81" i="16" a="1"/>
  <c r="F135" i="16" a="1"/>
  <c r="F29" i="16" a="1"/>
  <c r="F133" i="16" a="1"/>
  <c r="F89" i="16" a="1"/>
  <c r="F68" i="16" a="1"/>
  <c r="F125" i="16" a="1"/>
  <c r="F53" i="16" a="1"/>
  <c r="F70" i="16" a="1"/>
  <c r="F130" i="16" a="1"/>
  <c r="F127" i="16" a="1"/>
  <c r="F107" i="16" a="1"/>
  <c r="F129" i="16" a="1"/>
  <c r="F48" i="16" a="1"/>
  <c r="F69" i="16" a="1"/>
  <c r="F118" i="16" a="1"/>
  <c r="F37" i="16" a="1"/>
  <c r="F61" i="16" a="1"/>
  <c r="F60" i="16" a="1"/>
  <c r="F90" i="16" a="1"/>
  <c r="F51" i="16" a="1"/>
  <c r="F91" i="16" a="1"/>
  <c r="F99" i="16" a="1"/>
  <c r="F87" i="16" a="1"/>
  <c r="F83" i="16" a="1"/>
  <c r="F104" i="16" a="1"/>
  <c r="F123" i="16" a="1"/>
  <c r="F30" i="16" a="1"/>
  <c r="F36" i="16" a="1"/>
  <c r="F76" i="16" a="1"/>
  <c r="F52" i="16" a="1"/>
  <c r="F77" i="16" a="1"/>
  <c r="F121" i="16" a="1"/>
  <c r="F95" i="16" a="1"/>
  <c r="F132" i="16" a="1"/>
  <c r="F38" i="16" a="1"/>
  <c r="F50" i="16" a="1"/>
  <c r="F88" i="16" a="1"/>
  <c r="F100" i="16" a="1"/>
  <c r="F131" i="16" a="1"/>
  <c r="F31" i="16" a="1"/>
  <c r="F49" i="16" a="1"/>
  <c r="F101" i="16" a="1"/>
  <c r="F128" i="16" a="1"/>
  <c r="F113" i="16" a="1"/>
  <c r="F86" i="16" a="1"/>
  <c r="F72" i="16" a="1"/>
  <c r="F108" i="16" a="1"/>
  <c r="F106" i="16" a="1"/>
  <c r="F97" i="16" a="1"/>
  <c r="F110" i="16" a="1"/>
  <c r="F82" i="16" a="1"/>
  <c r="F120" i="16" a="1"/>
  <c r="F79" i="16" a="1"/>
  <c r="F93" i="16" a="1"/>
  <c r="F84" i="16" a="1"/>
  <c r="F67" i="16" a="1"/>
  <c r="E135" i="16" l="1" a="1"/>
  <c r="E135" i="16" s="1"/>
  <c r="F135" i="16"/>
  <c r="F133" i="16"/>
  <c r="F121" i="16"/>
  <c r="F131" i="16"/>
  <c r="F132" i="16"/>
  <c r="F130" i="16"/>
  <c r="F126" i="16"/>
  <c r="F123" i="16"/>
  <c r="F127" i="16"/>
  <c r="F125" i="16"/>
  <c r="F124" i="16"/>
  <c r="F122" i="16"/>
  <c r="F120" i="16"/>
  <c r="G120" i="16" s="1"/>
  <c r="F110" i="16"/>
  <c r="F108" i="16"/>
  <c r="F90" i="16"/>
  <c r="F91" i="16"/>
  <c r="F95" i="16"/>
  <c r="F118" i="16"/>
  <c r="F129" i="16"/>
  <c r="F128" i="16"/>
  <c r="E132" i="16" a="1"/>
  <c r="E132" i="16" s="1"/>
  <c r="E131" i="16" a="1"/>
  <c r="E131" i="16" s="1"/>
  <c r="E133" i="16" a="1"/>
  <c r="E133" i="16" s="1"/>
  <c r="E130" i="16" a="1"/>
  <c r="E130" i="16" s="1"/>
  <c r="E129" i="16" a="1"/>
  <c r="E129" i="16" s="1"/>
  <c r="E128" i="16" a="1"/>
  <c r="E128" i="16" s="1"/>
  <c r="E127" i="16" a="1"/>
  <c r="E127" i="16" s="1"/>
  <c r="E126" i="16" a="1"/>
  <c r="E126" i="16" s="1"/>
  <c r="E125" i="16" a="1"/>
  <c r="E125" i="16" s="1"/>
  <c r="E124" i="16" a="1"/>
  <c r="E124" i="16" s="1"/>
  <c r="E123" i="16" a="1"/>
  <c r="E123" i="16" s="1"/>
  <c r="E122" i="16" a="1"/>
  <c r="E122" i="16" s="1"/>
  <c r="E121" i="16" a="1"/>
  <c r="E121" i="16" s="1"/>
  <c r="F104" i="16"/>
  <c r="F93" i="16"/>
  <c r="F79" i="16"/>
  <c r="F100" i="16"/>
  <c r="F92" i="16"/>
  <c r="F36" i="16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2" i="16"/>
  <c r="F106" i="16"/>
  <c r="F107" i="16"/>
  <c r="F99" i="16"/>
  <c r="F81" i="16"/>
  <c r="F82" i="16"/>
  <c r="F87" i="16"/>
  <c r="F101" i="16"/>
  <c r="F8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7" i="15"/>
  <c r="S156" i="15"/>
  <c r="A124" i="15"/>
  <c r="A160" i="15" s="1"/>
  <c r="J116" i="15"/>
  <c r="J115" i="15"/>
  <c r="J114" i="15"/>
  <c r="J113" i="15"/>
  <c r="A94" i="15"/>
  <c r="A112" i="15" s="1"/>
  <c r="A64" i="15"/>
  <c r="A82" i="15" s="1"/>
  <c r="A21" i="15"/>
  <c r="A59" i="15" s="1"/>
  <c r="S157" i="14"/>
  <c r="S156" i="14"/>
  <c r="A124" i="14"/>
  <c r="A160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7" i="13"/>
  <c r="S156" i="13"/>
  <c r="A124" i="13"/>
  <c r="A160" i="13" s="1"/>
  <c r="J116" i="13"/>
  <c r="J115" i="13"/>
  <c r="J114" i="13"/>
  <c r="J113" i="13"/>
  <c r="A94" i="13"/>
  <c r="A112" i="13" s="1"/>
  <c r="A64" i="13"/>
  <c r="A82" i="13" s="1"/>
  <c r="A21" i="13"/>
  <c r="A59" i="13" s="1"/>
  <c r="S156" i="2"/>
  <c r="S157" i="2"/>
  <c r="D16" i="2"/>
  <c r="G135" i="16" l="1"/>
  <c r="G121" i="16"/>
  <c r="G133" i="16"/>
  <c r="G110" i="16"/>
  <c r="G122" i="16"/>
  <c r="G124" i="16"/>
  <c r="G125" i="16"/>
  <c r="G127" i="16"/>
  <c r="G123" i="16"/>
  <c r="G126" i="16"/>
  <c r="G132" i="16"/>
  <c r="G131" i="16"/>
  <c r="G128" i="16"/>
  <c r="G129" i="16"/>
  <c r="G130" i="16"/>
  <c r="G118" i="16"/>
  <c r="G91" i="16"/>
  <c r="G90" i="16"/>
  <c r="G79" i="16"/>
  <c r="G92" i="16"/>
  <c r="G76" i="16"/>
  <c r="G52" i="16"/>
  <c r="G101" i="16"/>
  <c r="G78" i="16"/>
  <c r="G30" i="16"/>
  <c r="G38" i="16"/>
  <c r="G112" i="16"/>
  <c r="G113" i="16"/>
  <c r="G104" i="16"/>
  <c r="G61" i="16"/>
  <c r="G82" i="16"/>
  <c r="G89" i="16"/>
  <c r="G71" i="16"/>
  <c r="G95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106" i="16"/>
  <c r="G108" i="16"/>
  <c r="G31" i="16"/>
  <c r="G29" i="16"/>
  <c r="G100" i="16"/>
  <c r="G68" i="16"/>
  <c r="G97" i="16"/>
  <c r="G53" i="16"/>
  <c r="G36" i="16"/>
  <c r="G84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5" i="13"/>
  <c r="A118" i="14"/>
  <c r="A155" i="14"/>
  <c r="A46" i="14"/>
  <c r="A131" i="14"/>
  <c r="A118" i="15"/>
  <c r="A155" i="15"/>
  <c r="A126" i="15"/>
  <c r="A144" i="15"/>
  <c r="A139" i="15"/>
  <c r="A152" i="15"/>
  <c r="A126" i="14"/>
  <c r="A144" i="14"/>
  <c r="A139" i="14"/>
  <c r="A152" i="14"/>
  <c r="A139" i="13"/>
  <c r="A126" i="13"/>
  <c r="A144" i="13"/>
  <c r="A152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60" i="2"/>
  <c r="A126" i="2"/>
  <c r="A152" i="2"/>
  <c r="A155" i="2"/>
  <c r="A139" i="2"/>
  <c r="A144" i="2"/>
  <c r="A131" i="2"/>
  <c r="A35" i="2"/>
  <c r="A46" i="2"/>
  <c r="A112" i="2"/>
  <c r="A8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Seidel, Marc (SGRE OF S&amp;PR EN SUS)</author>
  </authors>
  <commentList>
    <comment ref="AB7" authorId="0" shapeId="0" xr:uid="{1CB33A7B-008F-49F0-9FD1-E18303A231DD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(only applied on range)</t>
        </r>
      </text>
    </comment>
    <comment ref="AB8" authorId="0" shapeId="0" xr:uid="{6ACC5332-1794-4A0A-B930-51195EE2DCE1}">
      <text>
        <r>
          <rPr>
            <b/>
            <sz val="9"/>
            <color indexed="81"/>
            <rFont val="Segoe UI"/>
            <family val="2"/>
          </rPr>
          <t>Seidel, Marc (SGRE OF S&amp;PR EN SUS):</t>
        </r>
        <r>
          <rPr>
            <sz val="9"/>
            <color indexed="81"/>
            <rFont val="Segoe UI"/>
            <family val="2"/>
          </rPr>
          <t xml:space="preserve">
(applied on both range and mean)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<sst xmlns="http://schemas.openxmlformats.org/spreadsheetml/2006/main" count="1843" uniqueCount="503">
  <si>
    <t>A</t>
  </si>
  <si>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</si>
  <si>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</si>
  <si>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</si>
  <si>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</si>
  <si>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</si>
  <si>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</si>
  <si>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</si>
  <si>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</si>
  <si>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</si>
  <si>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</si>
  <si>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</si>
  <si>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</si>
  <si>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</si>
  <si>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</si>
  <si>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</si>
  <si>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</si>
  <si>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</si>
  <si>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</si>
  <si>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</si>
  <si>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</si>
  <si>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</si>
  <si>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</si>
  <si>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</si>
  <si>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</si>
  <si>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</si>
  <si>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</si>
  <si>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</si>
  <si>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</si>
  <si>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</si>
  <si>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</si>
  <si>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</si>
  <si>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</si>
  <si>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</si>
  <si>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</si>
  <si>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</si>
  <si>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</si>
  <si>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</si>
  <si>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</si>
  <si>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</si>
  <si>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</si>
  <si>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</si>
  <si>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</si>
  <si>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</si>
  <si>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</si>
  <si>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</si>
  <si>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</si>
  <si>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</si>
  <si>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</si>
  <si>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</si>
  <si>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</si>
  <si>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</si>
  <si>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</si>
  <si>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</si>
  <si>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</si>
  <si>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</si>
  <si>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</si>
  <si>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</si>
  <si>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</si>
  <si>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</si>
  <si>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</si>
  <si>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</si>
  <si>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</si>
  <si>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</si>
  <si>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</si>
  <si>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</si>
  <si>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</si>
  <si>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</si>
  <si>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</si>
  <si>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</si>
  <si>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</si>
  <si>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</si>
  <si>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</si>
  <si>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</si>
  <si>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</si>
  <si>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</si>
  <si>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</si>
  <si>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</si>
  <si>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</si>
  <si>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</si>
  <si>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</si>
  <si>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</si>
  <si>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</si>
  <si>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</si>
  <si>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</si>
  <si>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</si>
  <si>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</si>
  <si>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</si>
  <si>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</si>
  <si>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</si>
  <si>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</si>
  <si>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</si>
  <si>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</si>
  <si>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</si>
  <si>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</si>
  <si>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</si>
  <si>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</si>
  <si>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</si>
  <si>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</si>
  <si>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</si>
  <si>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</si>
  <si>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</si>
  <si>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</si>
  <si>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</si>
  <si>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</si>
  <si>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</si>
  <si>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</si>
  <si>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</si>
  <si>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</si>
  <si>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</si>
  <si>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</si>
  <si>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</si>
  <si>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</si>
  <si>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</si>
  <si>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</si>
  <si>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</si>
  <si>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</si>
  <si>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</si>
  <si>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</si>
  <si>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</si>
  <si>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</si>
  <si>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</si>
  <si>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</si>
  <si>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</si>
  <si>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</si>
  <si>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</si>
  <si>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</si>
  <si>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</si>
  <si>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</si>
  <si>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</si>
  <si>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</si>
  <si>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</si>
  <si>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</si>
  <si>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</si>
  <si>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</si>
  <si>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</si>
  <si>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</si>
  <si>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</si>
  <si>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</si>
  <si>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</si>
  <si>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</si>
  <si>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</si>
  <si>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</si>
  <si>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</si>
  <si>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</si>
  <si>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</si>
  <si>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</si>
  <si>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</si>
  <si>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</si>
  <si>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</si>
  <si>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</si>
  <si>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</si>
  <si>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</si>
  <si>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</si>
  <si>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</si>
  <si>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</si>
  <si>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</si>
  <si>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</si>
  <si>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</si>
  <si>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</si>
  <si>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</si>
  <si>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</si>
  <si>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</si>
  <si>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</si>
  <si>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</si>
  <si>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</si>
  <si>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</si>
  <si>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</si>
  <si>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</si>
  <si>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</si>
  <si>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</si>
  <si>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</si>
  <si>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</si>
  <si>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</si>
  <si>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</si>
  <si>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</si>
  <si>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</si>
  <si>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</si>
  <si>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</si>
  <si>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</si>
  <si>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</si>
  <si>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</si>
  <si>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</si>
  <si>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</si>
  <si>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</si>
  <si>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</si>
  <si>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</si>
  <si>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</si>
  <si>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</si>
  <si>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</si>
  <si>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</si>
  <si>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</si>
  <si>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</si>
  <si>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</si>
  <si>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</si>
  <si>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</si>
  <si>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</si>
  <si>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</si>
  <si>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</si>
  <si>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</si>
  <si>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</si>
  <si>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</si>
  <si>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</si>
  <si>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</si>
  <si>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</si>
  <si>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</si>
  <si>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</si>
  <si>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</si>
  <si>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</si>
  <si>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</si>
  <si>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</si>
  <si>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</si>
  <si>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</si>
  <si>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</si>
  <si>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</si>
  <si>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</si>
  <si>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</si>
  <si>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</si>
  <si>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</si>
  <si>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</si>
  <si>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</si>
  <si>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</si>
  <si>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</si>
  <si>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</si>
  <si>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</si>
  <si>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</si>
  <si>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</si>
  <si>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</si>
  <si>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</si>
  <si>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</si>
  <si>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</si>
  <si>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</si>
  <si>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</si>
  <si>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</si>
  <si>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</si>
  <si>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</si>
  <si>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</si>
  <si>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</si>
  <si>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</si>
  <si>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</si>
  <si>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</si>
  <si>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</si>
  <si>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</si>
  <si>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</si>
  <si>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</si>
  <si>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</si>
  <si>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</si>
  <si>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</si>
  <si>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</si>
  <si>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</si>
  <si>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</si>
  <si>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</si>
  <si>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</si>
  <si>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</si>
  <si>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</si>
  <si>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</si>
  <si>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</si>
  <si>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</si>
  <si>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</si>
  <si>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</si>
  <si>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</si>
  <si>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</si>
  <si>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</si>
  <si>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</si>
  <si>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</si>
  <si>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</si>
  <si>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</si>
  <si>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</si>
  <si>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</si>
  <si>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</si>
  <si>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</si>
  <si>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</si>
  <si>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</si>
  <si>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</si>
  <si>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</si>
  <si>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</si>
  <si>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</si>
  <si>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</si>
  <si>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</si>
  <si>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</si>
  <si>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</si>
  <si>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</si>
  <si>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</si>
  <si>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</si>
  <si>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</si>
  <si>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</si>
  <si>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</si>
  <si>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</si>
  <si>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</si>
  <si>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</si>
  <si>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</si>
  <si>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</si>
  <si>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</t>
    </r>
  </si>
  <si>
    <t>C</t>
  </si>
  <si>
    <t>B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</si>
  <si>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</si>
  <si>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</si>
  <si>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</si>
  <si>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</si>
  <si>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</si>
  <si>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</si>
  <si>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</si>
  <si>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</si>
  <si>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</si>
  <si>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</si>
  <si>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</si>
  <si>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</si>
  <si>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</si>
  <si>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</si>
  <si>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</si>
  <si>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</si>
  <si>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</si>
  <si>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</si>
  <si>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</si>
  <si>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</si>
  <si>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</si>
  <si>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</si>
  <si>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</si>
  <si>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</si>
  <si>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</si>
  <si>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</si>
  <si>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</si>
  <si>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</si>
  <si>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</si>
  <si>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</si>
  <si>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</si>
  <si>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t>0.10</t>
  </si>
  <si>
    <t>Force necessary to neutralize the flange tilt: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</si>
  <si>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gap,inclination</t>
    </r>
    <r>
      <rPr>
        <sz val="10"/>
        <color rgb="FF000000"/>
        <rFont val="Consolas"/>
        <family val="3"/>
      </rPr>
      <t xml:space="preserve"> =</t>
    </r>
  </si>
  <si>
    <t>Force necessary to neutralize a parallel gap:</t>
  </si>
  <si>
    <t>Total force necessary to neutralize the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</si>
  <si>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</si>
  <si>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</si>
  <si>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rPr>
        <sz val="10"/>
        <color theme="1"/>
        <rFont val="Arial"/>
        <family val="2"/>
      </rPr>
      <t xml:space="preserve">Value at 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</si>
  <si>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t>Polynomial coefficients for bending moment</t>
  </si>
  <si>
    <t>Note that these don't provide an exact match to</t>
  </si>
  <si>
    <t>the interpolated values, but usually good enough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</si>
  <si>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</si>
  <si>
    <r>
      <t>M</t>
    </r>
    <r>
      <rPr>
        <vertAlign val="subscript"/>
        <sz val="11"/>
        <color theme="1"/>
        <rFont val="Arial"/>
        <family val="2"/>
      </rPr>
      <t>s,T,low</t>
    </r>
  </si>
  <si>
    <r>
      <t>M</t>
    </r>
    <r>
      <rPr>
        <vertAlign val="subscript"/>
        <sz val="11"/>
        <color theme="1"/>
        <rFont val="Arial"/>
        <family val="2"/>
      </rPr>
      <t>s,T,high</t>
    </r>
  </si>
  <si>
    <r>
      <t>M</t>
    </r>
    <r>
      <rPr>
        <vertAlign val="subscript"/>
        <sz val="11"/>
        <color theme="1"/>
        <rFont val="Arial"/>
        <family val="2"/>
      </rPr>
      <t>s,T</t>
    </r>
  </si>
  <si>
    <r>
      <t>M</t>
    </r>
    <r>
      <rPr>
        <vertAlign val="subscript"/>
        <sz val="11"/>
        <color theme="1"/>
        <rFont val="Arial"/>
        <family val="2"/>
      </rPr>
      <t>1</t>
    </r>
  </si>
  <si>
    <r>
      <t>M</t>
    </r>
    <r>
      <rPr>
        <vertAlign val="subscript"/>
        <sz val="11"/>
        <color theme="1"/>
        <rFont val="Arial"/>
        <family val="2"/>
      </rPr>
      <t>2</t>
    </r>
  </si>
  <si>
    <r>
      <t>M</t>
    </r>
    <r>
      <rPr>
        <vertAlign val="subscript"/>
        <sz val="11"/>
        <color theme="1"/>
        <rFont val="Arial"/>
        <family val="2"/>
      </rPr>
      <t>3</t>
    </r>
  </si>
  <si>
    <r>
      <t>a</t>
    </r>
    <r>
      <rPr>
        <vertAlign val="subscript"/>
        <sz val="10"/>
        <color theme="1"/>
        <rFont val="Arial"/>
        <family val="2"/>
      </rPr>
      <t>2,M</t>
    </r>
  </si>
  <si>
    <r>
      <t>a</t>
    </r>
    <r>
      <rPr>
        <vertAlign val="subscript"/>
        <sz val="10"/>
        <color theme="1"/>
        <rFont val="Arial"/>
        <family val="2"/>
      </rPr>
      <t>1,M</t>
    </r>
  </si>
  <si>
    <r>
      <t>a</t>
    </r>
    <r>
      <rPr>
        <vertAlign val="subscript"/>
        <sz val="10"/>
        <color theme="1"/>
        <rFont val="Arial"/>
        <family val="2"/>
      </rPr>
      <t>0,M</t>
    </r>
  </si>
  <si>
    <t>M48</t>
  </si>
  <si>
    <t>PyFlange Value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</si>
  <si>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gap,c</t>
    </r>
    <r>
      <rPr>
        <sz val="10"/>
        <color rgb="FF000000"/>
        <rFont val="Consolas"/>
        <family val="3"/>
      </rPr>
      <t xml:space="preserve"> =</t>
    </r>
  </si>
  <si>
    <t>Force necessary to neutralize a early prying:</t>
  </si>
  <si>
    <t>Force at early prying</t>
  </si>
  <si>
    <t>Fvc =</t>
  </si>
  <si>
    <t>DZdwDZ</t>
  </si>
  <si>
    <t>MZTlow1</t>
  </si>
  <si>
    <t>MZThigh1</t>
  </si>
  <si>
    <t>MZT1</t>
  </si>
  <si>
    <t>MZTlow2</t>
  </si>
  <si>
    <t>MZThigh2</t>
  </si>
  <si>
    <t>MZT2</t>
  </si>
  <si>
    <t>polynomial_initial_slope</t>
  </si>
  <si>
    <t>Inclination</t>
  </si>
  <si>
    <t>deg</t>
  </si>
  <si>
    <t>Damage calculation:</t>
  </si>
  <si>
    <t>Shape factor</t>
  </si>
  <si>
    <t>DC</t>
  </si>
  <si>
    <t>Size exp.</t>
  </si>
  <si>
    <t>size factor ks</t>
  </si>
  <si>
    <t>Bolt properties:</t>
  </si>
  <si>
    <t>DC_red</t>
  </si>
  <si>
    <t>(incl. safety factor)</t>
  </si>
  <si>
    <t>Shank length</t>
  </si>
  <si>
    <t>m1</t>
  </si>
  <si>
    <t>Length of free loaded thread</t>
  </si>
  <si>
    <t>m2</t>
  </si>
  <si>
    <t>N_d</t>
  </si>
  <si>
    <t>Shank diameter</t>
  </si>
  <si>
    <t>Delta_sigma_d</t>
  </si>
  <si>
    <t>Pitch diameter</t>
  </si>
  <si>
    <t>safety factor loads</t>
  </si>
  <si>
    <t>Minor diameter</t>
  </si>
  <si>
    <t>safety factor material</t>
  </si>
  <si>
    <t>Bending reduction</t>
  </si>
  <si>
    <t>Stress area</t>
  </si>
  <si>
    <t>As</t>
  </si>
  <si>
    <t>Scaling factors used</t>
  </si>
  <si>
    <t>Mean factor</t>
  </si>
  <si>
    <t>(applied only on mean values from Markov matrix)</t>
  </si>
  <si>
    <t>Range faktor</t>
  </si>
  <si>
    <t>(applied only on range values from Markov matrix)</t>
  </si>
  <si>
    <t>Macro-geometric SCF</t>
  </si>
  <si>
    <t>(applied on both mean and range from Markov matrix and on dead weight)</t>
  </si>
  <si>
    <t>Loads used (incl. scaling factors)</t>
  </si>
  <si>
    <t>Range</t>
  </si>
  <si>
    <t>Mean</t>
  </si>
  <si>
    <t>Cycles</t>
  </si>
  <si>
    <t>[kNm]</t>
  </si>
  <si>
    <t>Damage Miner's rule</t>
  </si>
  <si>
    <t>Damage</t>
  </si>
  <si>
    <t>lsh</t>
  </si>
  <si>
    <t>lGew</t>
  </si>
  <si>
    <t>dsh</t>
  </si>
  <si>
    <t>d2</t>
  </si>
  <si>
    <t>d3</t>
  </si>
  <si>
    <t>Fp,C'</t>
  </si>
  <si>
    <t>DFpl</t>
  </si>
  <si>
    <t>fy,b</t>
  </si>
  <si>
    <t>AS</t>
  </si>
  <si>
    <t>Stress area of bolt</t>
  </si>
  <si>
    <t>Fp,inst.,mean</t>
  </si>
  <si>
    <t>Mean preload after installation</t>
  </si>
  <si>
    <t>COVp</t>
  </si>
  <si>
    <t>Coefficient of variation for preload</t>
  </si>
  <si>
    <t>Fp,mean</t>
  </si>
  <si>
    <t>Design preload averaged over 5 bolts (after installation, without preload losses)</t>
  </si>
  <si>
    <t>Design value capped to 90% Fp,C*: Yes</t>
  </si>
  <si>
    <t>dS</t>
  </si>
  <si>
    <t/>
  </si>
  <si>
    <t>dP</t>
  </si>
  <si>
    <t>DFZ</t>
  </si>
  <si>
    <t>DFTsbw</t>
  </si>
  <si>
    <t>fZ,tot</t>
  </si>
  <si>
    <t>Including 50% reduction, when re-tightening is assumed (only for tension tightening)</t>
  </si>
  <si>
    <t>FS,loss</t>
  </si>
  <si>
    <t>Mloss</t>
  </si>
  <si>
    <t>Mmax,FLS</t>
  </si>
  <si>
    <t>Mmin,FLS</t>
  </si>
  <si>
    <t>Zloss</t>
  </si>
  <si>
    <t>FU,D/Zloss</t>
  </si>
  <si>
    <t>aGap</t>
  </si>
  <si>
    <t>LGap</t>
  </si>
  <si>
    <t>utol,1m</t>
  </si>
  <si>
    <t>kmean</t>
  </si>
  <si>
    <t>COVk</t>
  </si>
  <si>
    <t>L30°</t>
  </si>
  <si>
    <t>utol,30°</t>
  </si>
  <si>
    <t>utol,360°</t>
  </si>
  <si>
    <t>sk</t>
  </si>
  <si>
    <t>mk</t>
  </si>
  <si>
    <t>p95</t>
  </si>
  <si>
    <t>kdesign</t>
  </si>
  <si>
    <t>kused</t>
  </si>
  <si>
    <t>FU,B</t>
  </si>
  <si>
    <t>FU,A</t>
  </si>
  <si>
    <t>FS(Z)</t>
  </si>
  <si>
    <t>Z1</t>
  </si>
  <si>
    <t>FS,1</t>
  </si>
  <si>
    <t>Z2</t>
  </si>
  <si>
    <t>FS,2</t>
  </si>
  <si>
    <t>Z3</t>
  </si>
  <si>
    <t>FS,3</t>
  </si>
  <si>
    <t>D0</t>
  </si>
  <si>
    <t>D1</t>
  </si>
  <si>
    <t>D2</t>
  </si>
  <si>
    <t>a2</t>
  </si>
  <si>
    <t>a1</t>
  </si>
  <si>
    <t>a0</t>
  </si>
  <si>
    <t>DZgap</t>
  </si>
  <si>
    <t>Atg</t>
  </si>
  <si>
    <t>Itg</t>
  </si>
  <si>
    <t>[mm4]</t>
  </si>
  <si>
    <t>Acf</t>
  </si>
  <si>
    <t>Icf</t>
  </si>
  <si>
    <t>kgap,tot</t>
  </si>
  <si>
    <t>kshell,ini</t>
  </si>
  <si>
    <t>kfac</t>
  </si>
  <si>
    <t>kfl</t>
  </si>
  <si>
    <t>DZgap,c</t>
  </si>
  <si>
    <t>FV,c</t>
  </si>
  <si>
    <t>DZgap,inclination</t>
  </si>
  <si>
    <t>Inclination used: 0.00deg</t>
  </si>
  <si>
    <t>DZgap,tot</t>
  </si>
  <si>
    <t>FS,0=FS,2</t>
  </si>
  <si>
    <t>Z0</t>
  </si>
  <si>
    <t>ak</t>
  </si>
  <si>
    <t>kseg</t>
  </si>
  <si>
    <t>Z2~</t>
  </si>
  <si>
    <t>Gtwr+GRNA</t>
  </si>
  <si>
    <t>Note that this includes a macro-geometric SCF=1.00</t>
  </si>
  <si>
    <t>DZdw</t>
  </si>
  <si>
    <t>Zclose</t>
  </si>
  <si>
    <t>cini,true</t>
  </si>
  <si>
    <t>FS,min</t>
  </si>
  <si>
    <t>cini,mod</t>
  </si>
  <si>
    <t>MS(Z)</t>
  </si>
  <si>
    <t>bS</t>
  </si>
  <si>
    <t>Bending resilience of bolt assembly (VDI2230)</t>
  </si>
  <si>
    <t>jS,T,low(Z)</t>
  </si>
  <si>
    <t>jS,T,high(Z)</t>
  </si>
  <si>
    <t>cini,M</t>
  </si>
  <si>
    <t>MS,min</t>
  </si>
  <si>
    <t>DZdw+DZ</t>
  </si>
  <si>
    <t>Ms,T,low</t>
  </si>
  <si>
    <t>Value at DZdw</t>
  </si>
  <si>
    <t>Ms,T,high</t>
  </si>
  <si>
    <t>Ms,T</t>
  </si>
  <si>
    <t>Value at DZdw+DZ</t>
  </si>
  <si>
    <t>M1</t>
  </si>
  <si>
    <t>M2</t>
  </si>
  <si>
    <t>M3</t>
  </si>
  <si>
    <t>a2,M</t>
  </si>
  <si>
    <t>a1,M</t>
  </si>
  <si>
    <t>a0,M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</si>
</sst>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7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  <font>
      <sz val="10"/>
      <color theme="1"/>
      <name val="Arial"/>
      <family val="2"/>
      <charset val="2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0" tint="-0.1499984740745262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</borders>
  <cellStyleXfs count="32">
    <xf numFmtId="0" fontId="0" fillId="0" borderId="0"/>
    <xf numFmtId="0" fontId="5" fillId="0" borderId="0"/>
    <xf numFmtId="0" fontId="4" fillId="0" borderId="0"/>
    <xf numFmtId="9" fontId="42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5" fillId="0" borderId="0"/>
    <xf numFmtId="9" fontId="65" fillId="0" borderId="0" applyFont="0" applyFill="0" applyBorder="0" applyAlignment="0" applyProtection="0"/>
    <xf numFmtId="0" fontId="65" fillId="0" borderId="0"/>
    <xf numFmtId="9" fontId="6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9" fontId="4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4">
    <xf numFmtId="0" fontId="0" fillId="0" borderId="0" xfId="0"/>
    <xf numFmtId="0" fontId="6" fillId="2" borderId="0" xfId="1" applyFont="1" applyFill="1" applyAlignment="1">
      <alignment vertical="center"/>
    </xf>
    <xf numFmtId="0" fontId="7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 applyAlignment="1">
      <alignment vertical="center"/>
    </xf>
    <xf numFmtId="0" fontId="8" fillId="3" borderId="1" xfId="1" applyFont="1" applyFill="1" applyBorder="1" applyAlignment="1">
      <alignment horizontal="left" vertical="center"/>
    </xf>
    <xf numFmtId="2" fontId="9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right" vertical="center"/>
    </xf>
    <xf numFmtId="0" fontId="11" fillId="3" borderId="1" xfId="1" applyFont="1" applyFill="1" applyBorder="1" applyAlignment="1">
      <alignment horizontal="left" vertical="center"/>
    </xf>
    <xf numFmtId="0" fontId="12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horizontal="right" vertical="center"/>
    </xf>
    <xf numFmtId="0" fontId="11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/>
    </xf>
    <xf numFmtId="2" fontId="14" fillId="3" borderId="4" xfId="1" applyNumberFormat="1" applyFont="1" applyFill="1" applyBorder="1" applyAlignment="1">
      <alignment horizontal="center"/>
    </xf>
    <xf numFmtId="0" fontId="15" fillId="3" borderId="4" xfId="1" applyFont="1" applyFill="1" applyBorder="1" applyAlignment="1">
      <alignment horizontal="left"/>
    </xf>
    <xf numFmtId="0" fontId="8" fillId="3" borderId="5" xfId="1" applyFont="1" applyFill="1" applyBorder="1" applyAlignment="1">
      <alignment horizontal="left" vertical="center"/>
    </xf>
    <xf numFmtId="0" fontId="8" fillId="3" borderId="5" xfId="1" applyFont="1" applyFill="1" applyBorder="1" applyAlignment="1">
      <alignment horizontal="right" vertical="center"/>
    </xf>
    <xf numFmtId="0" fontId="11" fillId="3" borderId="5" xfId="1" applyFont="1" applyFill="1" applyBorder="1" applyAlignment="1">
      <alignment horizontal="left" vertical="center"/>
    </xf>
    <xf numFmtId="0" fontId="6" fillId="2" borderId="0" xfId="1" applyFont="1" applyFill="1" applyAlignment="1">
      <alignment vertical="center" wrapText="1"/>
    </xf>
    <xf numFmtId="0" fontId="16" fillId="4" borderId="0" xfId="1" applyFont="1" applyFill="1" applyAlignment="1">
      <alignment horizontal="left" vertical="top"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17" fillId="0" borderId="7" xfId="1" applyFont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16" fillId="4" borderId="0" xfId="1" applyFont="1" applyFill="1" applyAlignment="1">
      <alignment vertical="top" wrapText="1"/>
    </xf>
    <xf numFmtId="0" fontId="17" fillId="0" borderId="11" xfId="1" applyFont="1" applyBorder="1" applyAlignment="1">
      <alignment vertical="center" wrapText="1"/>
    </xf>
    <xf numFmtId="0" fontId="17" fillId="0" borderId="12" xfId="1" applyFont="1" applyBorder="1" applyAlignment="1">
      <alignment vertical="center" wrapText="1"/>
    </xf>
    <xf numFmtId="0" fontId="17" fillId="0" borderId="13" xfId="1" applyFont="1" applyBorder="1" applyAlignment="1">
      <alignment vertical="center" wrapText="1"/>
    </xf>
    <xf numFmtId="0" fontId="7" fillId="0" borderId="9" xfId="1" applyFont="1" applyBorder="1" applyAlignment="1">
      <alignment vertical="center"/>
    </xf>
    <xf numFmtId="0" fontId="7" fillId="0" borderId="10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7" fillId="0" borderId="17" xfId="1" applyFont="1" applyBorder="1" applyAlignment="1">
      <alignment vertical="center"/>
    </xf>
    <xf numFmtId="0" fontId="18" fillId="2" borderId="0" xfId="1" applyFont="1" applyFill="1"/>
    <xf numFmtId="0" fontId="16" fillId="0" borderId="0" xfId="1" applyFont="1" applyAlignment="1">
      <alignment vertical="top" wrapText="1"/>
    </xf>
    <xf numFmtId="2" fontId="19" fillId="3" borderId="18" xfId="1" applyNumberFormat="1" applyFont="1" applyFill="1" applyBorder="1" applyAlignment="1">
      <alignment horizontal="left"/>
    </xf>
    <xf numFmtId="0" fontId="19" fillId="3" borderId="18" xfId="1" applyFont="1" applyFill="1" applyBorder="1" applyAlignment="1">
      <alignment horizontal="left"/>
    </xf>
    <xf numFmtId="0" fontId="20" fillId="2" borderId="0" xfId="1" applyFont="1" applyFill="1" applyAlignment="1">
      <alignment horizontal="center" vertical="center"/>
    </xf>
    <xf numFmtId="0" fontId="21" fillId="2" borderId="0" xfId="1" applyFont="1" applyFill="1" applyAlignment="1">
      <alignment horizontal="right" vertical="center"/>
    </xf>
    <xf numFmtId="0" fontId="22" fillId="2" borderId="0" xfId="1" applyFont="1" applyFill="1" applyAlignment="1">
      <alignment vertical="center"/>
    </xf>
    <xf numFmtId="0" fontId="23" fillId="2" borderId="0" xfId="1" applyFont="1" applyFill="1" applyAlignment="1">
      <alignment horizontal="center" vertical="center"/>
    </xf>
    <xf numFmtId="0" fontId="24" fillId="2" borderId="19" xfId="1" applyFont="1" applyFill="1" applyBorder="1" applyAlignment="1">
      <alignment horizontal="center" vertical="center"/>
    </xf>
    <xf numFmtId="0" fontId="25" fillId="2" borderId="19" xfId="1" applyFont="1" applyFill="1" applyBorder="1" applyAlignment="1">
      <alignment horizontal="center" vertical="center"/>
    </xf>
    <xf numFmtId="14" fontId="25" fillId="2" borderId="19" xfId="1" applyNumberFormat="1" applyFont="1" applyFill="1" applyBorder="1" applyAlignment="1">
      <alignment horizontal="center" vertical="center"/>
    </xf>
    <xf numFmtId="49" fontId="24" fillId="2" borderId="19" xfId="1" applyNumberFormat="1" applyFont="1" applyFill="1" applyBorder="1" applyAlignment="1">
      <alignment horizontal="center" vertical="center"/>
    </xf>
    <xf numFmtId="0" fontId="24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/>
    </xf>
    <xf numFmtId="0" fontId="26" fillId="2" borderId="0" xfId="1" applyFont="1" applyFill="1" applyAlignment="1">
      <alignment horizontal="center" vertical="center"/>
    </xf>
    <xf numFmtId="0" fontId="28" fillId="2" borderId="0" xfId="1" applyFont="1" applyFill="1" applyAlignment="1">
      <alignment horizontal="right" vertical="center"/>
    </xf>
    <xf numFmtId="0" fontId="28" fillId="2" borderId="0" xfId="1" applyFont="1" applyFill="1" applyAlignment="1">
      <alignment vertical="center"/>
    </xf>
    <xf numFmtId="0" fontId="26" fillId="2" borderId="0" xfId="1" applyFont="1" applyFill="1" applyAlignment="1">
      <alignment vertical="center"/>
    </xf>
    <xf numFmtId="0" fontId="6" fillId="2" borderId="23" xfId="1" applyFont="1" applyFill="1" applyBorder="1" applyAlignment="1">
      <alignment vertical="center"/>
    </xf>
    <xf numFmtId="49" fontId="20" fillId="2" borderId="23" xfId="1" applyNumberFormat="1" applyFont="1" applyFill="1" applyBorder="1" applyAlignment="1">
      <alignment horizontal="center" vertical="center"/>
    </xf>
    <xf numFmtId="0" fontId="21" fillId="2" borderId="23" xfId="1" applyFont="1" applyFill="1" applyBorder="1" applyAlignment="1">
      <alignment horizontal="right" vertical="center"/>
    </xf>
    <xf numFmtId="0" fontId="7" fillId="2" borderId="23" xfId="1" applyFont="1" applyFill="1" applyBorder="1" applyAlignment="1">
      <alignment vertical="center"/>
    </xf>
    <xf numFmtId="0" fontId="22" fillId="2" borderId="23" xfId="1" applyFont="1" applyFill="1" applyBorder="1" applyAlignment="1">
      <alignment vertical="center"/>
    </xf>
    <xf numFmtId="0" fontId="7" fillId="2" borderId="24" xfId="1" applyFont="1" applyFill="1" applyBorder="1" applyAlignment="1">
      <alignment vertical="center"/>
    </xf>
    <xf numFmtId="0" fontId="11" fillId="3" borderId="0" xfId="1" applyFont="1" applyFill="1" applyAlignment="1">
      <alignment horizontal="left" vertical="center"/>
    </xf>
    <xf numFmtId="0" fontId="8" fillId="3" borderId="0" xfId="1" applyFont="1" applyFill="1" applyAlignment="1">
      <alignment horizontal="right" vertical="center"/>
    </xf>
    <xf numFmtId="0" fontId="8" fillId="3" borderId="0" xfId="1" applyFont="1" applyFill="1" applyAlignment="1">
      <alignment horizontal="left" vertical="center"/>
    </xf>
    <xf numFmtId="0" fontId="9" fillId="3" borderId="1" xfId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0" fontId="9" fillId="3" borderId="0" xfId="1" applyFont="1" applyFill="1" applyAlignment="1">
      <alignment horizontal="center" vertical="center"/>
    </xf>
    <xf numFmtId="164" fontId="9" fillId="3" borderId="5" xfId="1" applyNumberFormat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165" fontId="9" fillId="3" borderId="1" xfId="1" applyNumberFormat="1" applyFont="1" applyFill="1" applyBorder="1" applyAlignment="1">
      <alignment horizontal="center" vertical="center"/>
    </xf>
    <xf numFmtId="166" fontId="9" fillId="3" borderId="1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7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right" vertical="center"/>
    </xf>
    <xf numFmtId="0" fontId="6" fillId="2" borderId="25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4" xfId="1" applyFont="1" applyBorder="1" applyAlignment="1">
      <alignment vertical="center"/>
    </xf>
    <xf numFmtId="0" fontId="13" fillId="3" borderId="0" xfId="1" applyFont="1" applyFill="1" applyAlignment="1">
      <alignment horizontal="left" indent="2"/>
    </xf>
    <xf numFmtId="1" fontId="11" fillId="3" borderId="25" xfId="1" applyNumberFormat="1" applyFont="1" applyFill="1" applyBorder="1" applyAlignment="1">
      <alignment horizontal="center" vertical="center"/>
    </xf>
    <xf numFmtId="1" fontId="31" fillId="6" borderId="25" xfId="1" applyNumberFormat="1" applyFont="1" applyFill="1" applyBorder="1" applyAlignment="1">
      <alignment horizontal="center" vertical="center"/>
    </xf>
    <xf numFmtId="0" fontId="31" fillId="6" borderId="25" xfId="1" applyFont="1" applyFill="1" applyBorder="1" applyAlignment="1">
      <alignment horizontal="center" vertical="center"/>
    </xf>
    <xf numFmtId="164" fontId="11" fillId="3" borderId="25" xfId="1" applyNumberFormat="1" applyFont="1" applyFill="1" applyBorder="1" applyAlignment="1">
      <alignment horizontal="center" vertical="center"/>
    </xf>
    <xf numFmtId="11" fontId="11" fillId="3" borderId="25" xfId="1" applyNumberFormat="1" applyFont="1" applyFill="1" applyBorder="1" applyAlignment="1">
      <alignment horizontal="center" vertical="center"/>
    </xf>
    <xf numFmtId="0" fontId="35" fillId="3" borderId="1" xfId="1" applyFont="1" applyFill="1" applyBorder="1" applyAlignment="1">
      <alignment horizontal="right" vertical="center"/>
    </xf>
    <xf numFmtId="0" fontId="34" fillId="3" borderId="1" xfId="1" applyFont="1" applyFill="1" applyBorder="1" applyAlignment="1">
      <alignment horizontal="right" vertical="center"/>
    </xf>
    <xf numFmtId="0" fontId="35" fillId="3" borderId="5" xfId="1" applyFont="1" applyFill="1" applyBorder="1" applyAlignment="1">
      <alignment horizontal="right" vertical="center"/>
    </xf>
    <xf numFmtId="165" fontId="9" fillId="3" borderId="5" xfId="1" applyNumberFormat="1" applyFont="1" applyFill="1" applyBorder="1" applyAlignment="1">
      <alignment horizontal="center" vertical="center"/>
    </xf>
    <xf numFmtId="0" fontId="6" fillId="2" borderId="0" xfId="2" applyFont="1" applyFill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14" fontId="6" fillId="2" borderId="0" xfId="2" applyNumberFormat="1" applyFont="1" applyFill="1" applyAlignment="1">
      <alignment vertical="center"/>
    </xf>
    <xf numFmtId="0" fontId="17" fillId="0" borderId="26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17" fillId="0" borderId="27" xfId="1" applyFont="1" applyBorder="1" applyAlignment="1">
      <alignment horizontal="center" vertical="center" wrapText="1"/>
    </xf>
    <xf numFmtId="164" fontId="9" fillId="3" borderId="2" xfId="1" applyNumberFormat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left" vertical="center"/>
    </xf>
    <xf numFmtId="0" fontId="13" fillId="3" borderId="3" xfId="1" applyFont="1" applyFill="1" applyBorder="1" applyAlignment="1">
      <alignment horizontal="left" wrapText="1"/>
    </xf>
    <xf numFmtId="0" fontId="13" fillId="3" borderId="0" xfId="1" applyFont="1" applyFill="1" applyAlignment="1">
      <alignment horizontal="left" wrapText="1" indent="2"/>
    </xf>
    <xf numFmtId="164" fontId="9" fillId="3" borderId="0" xfId="1" applyNumberFormat="1" applyFont="1" applyFill="1" applyAlignment="1">
      <alignment horizontal="center" vertical="center"/>
    </xf>
    <xf numFmtId="166" fontId="9" fillId="3" borderId="2" xfId="1" applyNumberFormat="1" applyFont="1" applyFill="1" applyBorder="1" applyAlignment="1">
      <alignment horizontal="center" vertical="center"/>
    </xf>
    <xf numFmtId="1" fontId="9" fillId="3" borderId="1" xfId="1" applyNumberFormat="1" applyFont="1" applyFill="1" applyBorder="1" applyAlignment="1">
      <alignment horizontal="center" vertical="center"/>
    </xf>
    <xf numFmtId="0" fontId="38" fillId="4" borderId="0" xfId="1" applyFont="1" applyFill="1" applyAlignment="1">
      <alignment vertical="center"/>
    </xf>
    <xf numFmtId="0" fontId="39" fillId="4" borderId="0" xfId="1" applyFont="1" applyFill="1" applyAlignment="1">
      <alignment horizontal="center" vertical="center"/>
    </xf>
    <xf numFmtId="0" fontId="40" fillId="4" borderId="0" xfId="1" applyFont="1" applyFill="1" applyAlignment="1">
      <alignment horizontal="center" vertical="center"/>
    </xf>
    <xf numFmtId="164" fontId="38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3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5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6" fillId="0" borderId="29" xfId="0" applyFont="1" applyBorder="1" applyAlignment="1">
      <alignment horizontal="center"/>
    </xf>
    <xf numFmtId="0" fontId="46" fillId="0" borderId="0" xfId="0" applyFont="1"/>
    <xf numFmtId="168" fontId="0" fillId="7" borderId="0" xfId="3" applyNumberFormat="1" applyFont="1" applyFill="1" applyAlignment="1">
      <alignment horizontal="center"/>
    </xf>
    <xf numFmtId="0" fontId="6" fillId="4" borderId="0" xfId="1" applyFont="1" applyFill="1" applyAlignment="1">
      <alignment vertical="center"/>
    </xf>
    <xf numFmtId="164" fontId="38" fillId="4" borderId="25" xfId="1" applyNumberFormat="1" applyFont="1" applyFill="1" applyBorder="1" applyAlignment="1">
      <alignment horizontal="center" vertical="center"/>
    </xf>
    <xf numFmtId="164" fontId="41" fillId="4" borderId="25" xfId="1" applyNumberFormat="1" applyFont="1" applyFill="1" applyBorder="1" applyAlignment="1">
      <alignment horizontal="center" vertical="center"/>
    </xf>
    <xf numFmtId="169" fontId="41" fillId="4" borderId="28" xfId="1" applyNumberFormat="1" applyFont="1" applyFill="1" applyBorder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4" fontId="41" fillId="4" borderId="0" xfId="1" applyNumberFormat="1" applyFont="1" applyFill="1" applyAlignment="1">
      <alignment horizontal="center" vertical="center"/>
    </xf>
    <xf numFmtId="165" fontId="9" fillId="3" borderId="0" xfId="1" applyNumberFormat="1" applyFont="1" applyFill="1" applyAlignment="1">
      <alignment horizontal="center" vertical="center"/>
    </xf>
    <xf numFmtId="0" fontId="13" fillId="3" borderId="0" xfId="1" applyFont="1" applyFill="1" applyAlignment="1">
      <alignment horizontal="left"/>
    </xf>
    <xf numFmtId="0" fontId="9" fillId="8" borderId="30" xfId="1" applyFont="1" applyFill="1" applyBorder="1" applyAlignment="1">
      <alignment horizontal="center" vertical="center"/>
    </xf>
    <xf numFmtId="0" fontId="0" fillId="9" borderId="0" xfId="0" applyFill="1"/>
    <xf numFmtId="164" fontId="17" fillId="7" borderId="0" xfId="0" applyNumberFormat="1" applyFont="1" applyFill="1" applyAlignment="1">
      <alignment horizontal="center"/>
    </xf>
    <xf numFmtId="0" fontId="17" fillId="0" borderId="0" xfId="0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17" fillId="0" borderId="0" xfId="0" applyFont="1"/>
    <xf numFmtId="0" fontId="6" fillId="2" borderId="0" xfId="1" applyFont="1" applyFill="1" applyAlignment="1">
      <alignment horizontal="center" vertical="center"/>
    </xf>
    <xf numFmtId="0" fontId="52" fillId="0" borderId="28" xfId="0" applyFont="1" applyBorder="1" applyAlignment="1">
      <alignment horizontal="center"/>
    </xf>
    <xf numFmtId="0" fontId="53" fillId="8" borderId="30" xfId="0" applyFont="1" applyFill="1" applyBorder="1" applyAlignment="1">
      <alignment horizontal="center"/>
    </xf>
    <xf numFmtId="0" fontId="54" fillId="0" borderId="0" xfId="0" applyFont="1" applyAlignment="1">
      <alignment horizontal="center"/>
    </xf>
    <xf numFmtId="0" fontId="6" fillId="2" borderId="0" xfId="1" applyFont="1" applyFill="1" applyAlignment="1">
      <alignment horizontal="left" vertic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11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11" fontId="9" fillId="3" borderId="1" xfId="1" applyNumberFormat="1" applyFont="1" applyFill="1" applyBorder="1" applyAlignment="1">
      <alignment horizontal="center" vertical="center"/>
    </xf>
    <xf numFmtId="2" fontId="9" fillId="3" borderId="5" xfId="1" applyNumberFormat="1" applyFont="1" applyFill="1" applyBorder="1" applyAlignment="1">
      <alignment horizontal="center" vertical="center"/>
    </xf>
    <xf numFmtId="0" fontId="62" fillId="0" borderId="0" xfId="0" applyFont="1" applyAlignment="1">
      <alignment horizontal="left"/>
    </xf>
    <xf numFmtId="0" fontId="63" fillId="0" borderId="0" xfId="4" applyFont="1" applyAlignment="1">
      <alignment horizontal="center"/>
    </xf>
    <xf numFmtId="165" fontId="65" fillId="7" borderId="0" xfId="0" applyNumberFormat="1" applyFont="1" applyFill="1" applyAlignment="1">
      <alignment horizontal="center"/>
    </xf>
    <xf numFmtId="2" fontId="65" fillId="7" borderId="0" xfId="0" applyNumberFormat="1" applyFont="1" applyFill="1" applyAlignment="1">
      <alignment horizont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166" fontId="0" fillId="7" borderId="0" xfId="0" applyNumberFormat="1" applyFill="1"/>
    <xf numFmtId="0" fontId="0" fillId="10" borderId="0" xfId="0" applyFill="1"/>
    <xf numFmtId="0" fontId="42" fillId="0" borderId="0" xfId="4" applyFont="1" applyAlignment="1">
      <alignment horizontal="right"/>
    </xf>
    <xf numFmtId="0" fontId="66" fillId="5" borderId="0" xfId="4" applyFont="1" applyFill="1"/>
    <xf numFmtId="0" fontId="66" fillId="5" borderId="0" xfId="4" applyFont="1" applyFill="1" applyAlignment="1">
      <alignment horizontal="center"/>
    </xf>
    <xf numFmtId="0" fontId="66" fillId="0" borderId="0" xfId="4" applyFont="1"/>
    <xf numFmtId="0" fontId="66" fillId="0" borderId="0" xfId="4" applyFont="1" applyAlignment="1">
      <alignment horizontal="center"/>
    </xf>
    <xf numFmtId="2" fontId="0" fillId="7" borderId="0" xfId="0" applyNumberFormat="1" applyFill="1"/>
    <xf numFmtId="1" fontId="0" fillId="7" borderId="0" xfId="0" applyNumberFormat="1" applyFill="1"/>
    <xf numFmtId="0" fontId="67" fillId="0" borderId="0" xfId="0" applyFont="1" applyAlignment="1">
      <alignment horizontal="center"/>
    </xf>
    <xf numFmtId="0" fontId="63" fillId="0" borderId="0" xfId="4" applyFont="1" applyAlignment="1">
      <alignment horizontal="right"/>
    </xf>
    <xf numFmtId="0" fontId="68" fillId="0" borderId="0" xfId="4" applyFont="1" applyAlignment="1">
      <alignment horizontal="center" vertical="top" wrapText="1"/>
    </xf>
    <xf numFmtId="0" fontId="68" fillId="0" borderId="29" xfId="4" applyFont="1" applyBorder="1" applyAlignment="1">
      <alignment horizontal="center" vertical="top" wrapText="1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24" fillId="2" borderId="22" xfId="1" applyFont="1" applyFill="1" applyBorder="1" applyAlignment="1">
      <alignment horizontal="left" vertical="center"/>
    </xf>
    <xf numFmtId="0" fontId="24" fillId="2" borderId="21" xfId="1" applyFont="1" applyFill="1" applyBorder="1" applyAlignment="1">
      <alignment horizontal="left" vertical="center"/>
    </xf>
    <xf numFmtId="0" fontId="24" fillId="2" borderId="20" xfId="1" applyFont="1" applyFill="1" applyBorder="1" applyAlignment="1">
      <alignment horizontal="left" vertical="center"/>
    </xf>
    <xf numFmtId="0" fontId="37" fillId="3" borderId="1" xfId="2" applyFont="1" applyFill="1" applyBorder="1" applyAlignment="1">
      <alignment horizontal="left" vertical="center"/>
    </xf>
    <xf numFmtId="14" fontId="11" fillId="3" borderId="1" xfId="2" applyNumberFormat="1" applyFont="1" applyFill="1" applyBorder="1" applyAlignment="1">
      <alignment horizontal="left" vertical="center" shrinkToFit="1"/>
    </xf>
    <xf numFmtId="0" fontId="11" fillId="3" borderId="1" xfId="2" applyFont="1" applyFill="1" applyBorder="1" applyAlignment="1">
      <alignment horizontal="left" vertical="center"/>
    </xf>
    <xf numFmtId="0" fontId="27" fillId="2" borderId="0" xfId="1" applyFont="1" applyFill="1" applyAlignment="1">
      <alignment horizontal="left" vertical="top" wrapText="1"/>
    </xf>
    <xf numFmtId="0" fontId="27" fillId="2" borderId="0" xfId="1" applyFont="1" applyFill="1" applyAlignment="1">
      <alignment horizontal="left" vertical="top"/>
    </xf>
    <xf numFmtId="0" fontId="26" fillId="2" borderId="6" xfId="1" applyFont="1" applyFill="1" applyBorder="1" applyAlignment="1">
      <alignment horizontal="center"/>
    </xf>
    <xf numFmtId="0" fontId="11" fillId="3" borderId="1" xfId="2" quotePrefix="1" applyFont="1" applyFill="1" applyBorder="1" applyAlignment="1">
      <alignment horizontal="left" vertical="center"/>
    </xf>
    <xf numFmtId="0" fontId="16" fillId="5" borderId="10" xfId="1" applyFont="1" applyFill="1" applyBorder="1" applyAlignment="1">
      <alignment horizontal="center" vertical="center" wrapText="1"/>
    </xf>
    <xf numFmtId="0" fontId="16" fillId="5" borderId="0" xfId="1" applyFont="1" applyFill="1" applyAlignment="1">
      <alignment horizontal="center" vertical="center" wrapText="1"/>
    </xf>
    <xf numFmtId="0" fontId="16" fillId="5" borderId="9" xfId="1" applyFont="1" applyFill="1" applyBorder="1" applyAlignment="1">
      <alignment horizontal="center" vertical="center" wrapText="1"/>
    </xf>
  </cellXfs>
  <cellStyles count="32">
    <cellStyle name="Normal 2" xfId="1" xr:uid="{441ACF27-160B-4F68-B601-75E0F5333046}"/>
    <cellStyle name="Normal 2 2" xfId="29" xr:uid="{88233607-20D6-4F10-9F6E-C8AC9D0F7A5E}"/>
    <cellStyle name="Normal 2 3" xfId="17" xr:uid="{76D1D0E2-72A6-4572-A8E6-935A294189EC}"/>
    <cellStyle name="Normal 2 4" xfId="6" xr:uid="{D0DA8A8C-715A-424F-9D7B-D66332FDB478}"/>
    <cellStyle name="Normal 3" xfId="2" xr:uid="{E743A38D-16A7-497B-BF78-6D533003511F}"/>
    <cellStyle name="Normal 3 2" xfId="26" xr:uid="{3C14323A-62E4-4DAA-A6B1-8943234EE2CC}"/>
    <cellStyle name="Normal 3 3" xfId="11" xr:uid="{C594D0CA-859F-4CA9-9041-A111B256EB87}"/>
    <cellStyle name="Normal 3 4" xfId="7" xr:uid="{9C2A34C7-6E85-47A4-BE29-72585E80577E}"/>
    <cellStyle name="Normal 4" xfId="15" xr:uid="{69295DA4-E27D-492D-A6FB-74A285164515}"/>
    <cellStyle name="Normal 5" xfId="12" xr:uid="{3FC07A9F-ABC8-4807-ACB2-10BE21A31477}"/>
    <cellStyle name="Normal 5 2" xfId="27" xr:uid="{28C25B9C-344F-4614-8DE2-B17BE343C899}"/>
    <cellStyle name="Normal 6" xfId="20" xr:uid="{D54955BB-441A-4139-9239-0F7819CE2977}"/>
    <cellStyle name="Percent 2" xfId="16" xr:uid="{239069C0-748A-4C21-A885-90201691E9E0}"/>
    <cellStyle name="Prozent" xfId="3" builtinId="5"/>
    <cellStyle name="Prozent 2" xfId="10" xr:uid="{DE79924B-9EA4-47F1-B2B8-357E2B2AF526}"/>
    <cellStyle name="Prozent 2 2" xfId="25" xr:uid="{06F86116-19B0-42B4-8AED-FCDC8F93BB92}"/>
    <cellStyle name="Prozent 3" xfId="14" xr:uid="{A24755D7-F38D-4C5C-A76D-11249B0A0604}"/>
    <cellStyle name="Prozent 4" xfId="23" xr:uid="{7FBA6E65-A38B-4BE4-B1F4-47A5621CEAF3}"/>
    <cellStyle name="Standard" xfId="0" builtinId="0"/>
    <cellStyle name="Standard 2" xfId="4" xr:uid="{B02CA21A-3A09-4EBD-A388-4E5A2C25226E}"/>
    <cellStyle name="Standard 2 2" xfId="5" xr:uid="{45A6E877-D15B-4B40-966B-BBD3729A2ADC}"/>
    <cellStyle name="Standard 2 2 2" xfId="28" xr:uid="{E8C75847-EAE7-45B9-B68F-8A1DA8B767B8}"/>
    <cellStyle name="Standard 2 2 3" xfId="9" xr:uid="{6D818713-C438-4301-A271-C83D1B6B2E0A}"/>
    <cellStyle name="Standard 2 3" xfId="24" xr:uid="{10BDAFE9-E06D-43D2-9FC2-560B481A6675}"/>
    <cellStyle name="Standard 2 4" xfId="8" xr:uid="{C65C636F-83BF-4DA2-A4DB-DCF573DB2E15}"/>
    <cellStyle name="Standard 3" xfId="13" xr:uid="{87193632-E16B-4CF2-8CAB-6F0A9FD82EC9}"/>
    <cellStyle name="Standard 3 2" xfId="18" xr:uid="{BBEC8543-20C2-436B-BEF6-BD3F673C724B}"/>
    <cellStyle name="Standard 3 2 2" xfId="30" xr:uid="{218A215E-5CF0-461A-8993-910420B38DA4}"/>
    <cellStyle name="Standard 4" xfId="19" xr:uid="{12F1A160-19DF-407E-90D7-FD4D546422BC}"/>
    <cellStyle name="Standard 4 2" xfId="31" xr:uid="{9C9FE595-9A72-487C-ADDD-E7C3AA2C8825}"/>
    <cellStyle name="Standard 5" xfId="21" xr:uid="{93C922A1-FACF-4C5B-94AE-63B8C6ED15A9}"/>
    <cellStyle name="Standard 6" xfId="22" xr:uid="{E0A352D8-D5C4-4D9F-A98E-E3C48D932248}"/>
  </cellStyles>
  <dxfs count="2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-81.950196903899112</c:v>
                </c:pt>
                <c:pt idx="1">
                  <c:v>-81.950196903899112</c:v>
                </c:pt>
                <c:pt idx="2">
                  <c:v>-81.950016537295596</c:v>
                </c:pt>
                <c:pt idx="3">
                  <c:v>-81.88755103021613</c:v>
                </c:pt>
                <c:pt idx="4">
                  <c:v>-81.71287876959363</c:v>
                </c:pt>
                <c:pt idx="5">
                  <c:v>-81.42599975542808</c:v>
                </c:pt>
                <c:pt idx="6">
                  <c:v>-81.02691398771951</c:v>
                </c:pt>
                <c:pt idx="7">
                  <c:v>-80.515621466467891</c:v>
                </c:pt>
                <c:pt idx="8">
                  <c:v>-79.892122191673238</c:v>
                </c:pt>
                <c:pt idx="9">
                  <c:v>-79.156416163335535</c:v>
                </c:pt>
                <c:pt idx="10">
                  <c:v>-78.308503381454813</c:v>
                </c:pt>
                <c:pt idx="11">
                  <c:v>-77.348383846031027</c:v>
                </c:pt>
                <c:pt idx="12">
                  <c:v>-76.276057557064206</c:v>
                </c:pt>
                <c:pt idx="13">
                  <c:v>-75.091524514554365</c:v>
                </c:pt>
                <c:pt idx="14">
                  <c:v>-73.794784718501475</c:v>
                </c:pt>
                <c:pt idx="15">
                  <c:v>-72.385838168905551</c:v>
                </c:pt>
                <c:pt idx="16">
                  <c:v>-70.864684865766577</c:v>
                </c:pt>
                <c:pt idx="17">
                  <c:v>-69.231324809084569</c:v>
                </c:pt>
                <c:pt idx="18">
                  <c:v>-67.485757998859526</c:v>
                </c:pt>
                <c:pt idx="19">
                  <c:v>-65.627984435091435</c:v>
                </c:pt>
                <c:pt idx="20">
                  <c:v>-63.658004117780322</c:v>
                </c:pt>
                <c:pt idx="21">
                  <c:v>-61.575817046926161</c:v>
                </c:pt>
                <c:pt idx="22">
                  <c:v>-59.381423222528952</c:v>
                </c:pt>
                <c:pt idx="23">
                  <c:v>-57.074822644588721</c:v>
                </c:pt>
                <c:pt idx="24">
                  <c:v>-54.656015313105442</c:v>
                </c:pt>
                <c:pt idx="25">
                  <c:v>-52.125001228079128</c:v>
                </c:pt>
                <c:pt idx="26">
                  <c:v>-49.481780389509773</c:v>
                </c:pt>
                <c:pt idx="27">
                  <c:v>-46.726352797397389</c:v>
                </c:pt>
                <c:pt idx="28">
                  <c:v>-43.85871845174195</c:v>
                </c:pt>
                <c:pt idx="29">
                  <c:v>-40.878877352543491</c:v>
                </c:pt>
                <c:pt idx="30">
                  <c:v>-37.786829499801975</c:v>
                </c:pt>
                <c:pt idx="31">
                  <c:v>-34.582574893517432</c:v>
                </c:pt>
                <c:pt idx="32">
                  <c:v>-31.26611353368984</c:v>
                </c:pt>
                <c:pt idx="33">
                  <c:v>-27.837445420319206</c:v>
                </c:pt>
                <c:pt idx="34">
                  <c:v>-24.296570553405545</c:v>
                </c:pt>
                <c:pt idx="35">
                  <c:v>-20.643488932948841</c:v>
                </c:pt>
                <c:pt idx="36">
                  <c:v>-16.878200558949096</c:v>
                </c:pt>
                <c:pt idx="37">
                  <c:v>-13.000705431406319</c:v>
                </c:pt>
                <c:pt idx="38">
                  <c:v>-9.0094818806034027</c:v>
                </c:pt>
                <c:pt idx="39">
                  <c:v>-4.8598355523541397</c:v>
                </c:pt>
                <c:pt idx="40">
                  <c:v>-0.53105136897277205</c:v>
                </c:pt>
                <c:pt idx="41">
                  <c:v>3.9768706695406979</c:v>
                </c:pt>
                <c:pt idx="42">
                  <c:v>8.6639305631862715</c:v>
                </c:pt>
                <c:pt idx="43">
                  <c:v>13.530128311963949</c:v>
                </c:pt>
                <c:pt idx="44">
                  <c:v>18.575463915873726</c:v>
                </c:pt>
                <c:pt idx="45">
                  <c:v>23.799937374915611</c:v>
                </c:pt>
                <c:pt idx="46">
                  <c:v>29.203548689089601</c:v>
                </c:pt>
                <c:pt idx="47">
                  <c:v>34.786297858395692</c:v>
                </c:pt>
                <c:pt idx="48">
                  <c:v>40.54818488283388</c:v>
                </c:pt>
                <c:pt idx="49">
                  <c:v>46.489209762404172</c:v>
                </c:pt>
                <c:pt idx="50">
                  <c:v>52.609372497106577</c:v>
                </c:pt>
                <c:pt idx="51">
                  <c:v>58.908673086941093</c:v>
                </c:pt>
                <c:pt idx="52">
                  <c:v>65.387111531907692</c:v>
                </c:pt>
                <c:pt idx="53">
                  <c:v>72.044687832006403</c:v>
                </c:pt>
                <c:pt idx="54">
                  <c:v>78.881401987237155</c:v>
                </c:pt>
                <c:pt idx="55">
                  <c:v>85.897253997600075</c:v>
                </c:pt>
                <c:pt idx="56">
                  <c:v>93.092243863095092</c:v>
                </c:pt>
                <c:pt idx="57">
                  <c:v>100.46637158372221</c:v>
                </c:pt>
                <c:pt idx="58">
                  <c:v>108.01963715948143</c:v>
                </c:pt>
                <c:pt idx="59">
                  <c:v>115.75204059037276</c:v>
                </c:pt>
                <c:pt idx="60">
                  <c:v>123.66358187639618</c:v>
                </c:pt>
                <c:pt idx="61">
                  <c:v>131.75426101755173</c:v>
                </c:pt>
                <c:pt idx="62">
                  <c:v>140.02407801383936</c:v>
                </c:pt>
                <c:pt idx="63">
                  <c:v>148.47303286525911</c:v>
                </c:pt>
                <c:pt idx="64">
                  <c:v>157.10112557181097</c:v>
                </c:pt>
                <c:pt idx="65">
                  <c:v>165.90835613349492</c:v>
                </c:pt>
                <c:pt idx="66">
                  <c:v>174.89472455031097</c:v>
                </c:pt>
                <c:pt idx="67">
                  <c:v>184.06023082225911</c:v>
                </c:pt>
                <c:pt idx="68">
                  <c:v>193.40487494933936</c:v>
                </c:pt>
                <c:pt idx="69">
                  <c:v>202.92865693155173</c:v>
                </c:pt>
                <c:pt idx="70">
                  <c:v>212.6315767688962</c:v>
                </c:pt>
                <c:pt idx="71">
                  <c:v>222.51363446137279</c:v>
                </c:pt>
                <c:pt idx="72">
                  <c:v>232.57483000898142</c:v>
                </c:pt>
                <c:pt idx="73">
                  <c:v>242.81516341172224</c:v>
                </c:pt>
                <c:pt idx="74">
                  <c:v>253.2346346695951</c:v>
                </c:pt>
                <c:pt idx="75">
                  <c:v>263.83324378260005</c:v>
                </c:pt>
                <c:pt idx="76">
                  <c:v>274.61099075073707</c:v>
                </c:pt>
                <c:pt idx="77">
                  <c:v>285.56787557400628</c:v>
                </c:pt>
                <c:pt idx="78">
                  <c:v>296.70389825240755</c:v>
                </c:pt>
                <c:pt idx="79">
                  <c:v>308.01905878594096</c:v>
                </c:pt>
                <c:pt idx="80">
                  <c:v>319.51335717460648</c:v>
                </c:pt>
                <c:pt idx="81">
                  <c:v>331.18679341840408</c:v>
                </c:pt>
                <c:pt idx="82">
                  <c:v>343.03936751733374</c:v>
                </c:pt>
                <c:pt idx="83">
                  <c:v>355.07107947139554</c:v>
                </c:pt>
                <c:pt idx="84">
                  <c:v>367.28192928058951</c:v>
                </c:pt>
                <c:pt idx="85">
                  <c:v>379.67191694491549</c:v>
                </c:pt>
                <c:pt idx="86">
                  <c:v>392.24104246437366</c:v>
                </c:pt>
                <c:pt idx="87">
                  <c:v>404.98930583896379</c:v>
                </c:pt>
                <c:pt idx="88">
                  <c:v>417.91670706868615</c:v>
                </c:pt>
                <c:pt idx="89">
                  <c:v>431.02324615354058</c:v>
                </c:pt>
                <c:pt idx="90">
                  <c:v>444.30892309352714</c:v>
                </c:pt>
                <c:pt idx="91">
                  <c:v>457.77373788864577</c:v>
                </c:pt>
                <c:pt idx="92">
                  <c:v>471.41769053889647</c:v>
                </c:pt>
                <c:pt idx="93">
                  <c:v>485.2407810442794</c:v>
                </c:pt>
                <c:pt idx="94">
                  <c:v>499.24300940479424</c:v>
                </c:pt>
                <c:pt idx="95">
                  <c:v>513.42437562044131</c:v>
                </c:pt>
                <c:pt idx="96">
                  <c:v>527.78487969122034</c:v>
                </c:pt>
                <c:pt idx="97">
                  <c:v>542.32452161713172</c:v>
                </c:pt>
                <c:pt idx="98">
                  <c:v>557.043301398175</c:v>
                </c:pt>
                <c:pt idx="99">
                  <c:v>571.94121903435052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-1099.0367219299899</c:v>
                </c:pt>
                <c:pt idx="1">
                  <c:v>-1072.10568515314</c:v>
                </c:pt>
                <c:pt idx="2">
                  <c:v>-1045.17464837629</c:v>
                </c:pt>
                <c:pt idx="3">
                  <c:v>-1018.24361159944</c:v>
                </c:pt>
                <c:pt idx="4">
                  <c:v>-991.31257482259002</c:v>
                </c:pt>
                <c:pt idx="5">
                  <c:v>-964.38153804573994</c:v>
                </c:pt>
                <c:pt idx="6">
                  <c:v>-937.45050126888998</c:v>
                </c:pt>
                <c:pt idx="7">
                  <c:v>-910.51946449204013</c:v>
                </c:pt>
                <c:pt idx="8">
                  <c:v>-883.58842771519005</c:v>
                </c:pt>
                <c:pt idx="9">
                  <c:v>-856.65739093834009</c:v>
                </c:pt>
                <c:pt idx="10">
                  <c:v>-829.72635416149012</c:v>
                </c:pt>
                <c:pt idx="11">
                  <c:v>-802.79531738464016</c:v>
                </c:pt>
                <c:pt idx="12">
                  <c:v>-775.86428060779008</c:v>
                </c:pt>
                <c:pt idx="13">
                  <c:v>-748.93324383094011</c:v>
                </c:pt>
                <c:pt idx="14">
                  <c:v>-722.00220705409026</c:v>
                </c:pt>
                <c:pt idx="15">
                  <c:v>-695.07117027724018</c:v>
                </c:pt>
                <c:pt idx="16">
                  <c:v>-668.14013350039022</c:v>
                </c:pt>
                <c:pt idx="17">
                  <c:v>-641.20909672354026</c:v>
                </c:pt>
                <c:pt idx="18">
                  <c:v>-614.27805994669018</c:v>
                </c:pt>
                <c:pt idx="19">
                  <c:v>-587.34702316984021</c:v>
                </c:pt>
                <c:pt idx="20">
                  <c:v>-560.41598639299025</c:v>
                </c:pt>
                <c:pt idx="21">
                  <c:v>-533.48494961614017</c:v>
                </c:pt>
                <c:pt idx="22">
                  <c:v>-506.55391283929021</c:v>
                </c:pt>
                <c:pt idx="23">
                  <c:v>-479.62287606244024</c:v>
                </c:pt>
                <c:pt idx="24">
                  <c:v>-452.69183928559022</c:v>
                </c:pt>
                <c:pt idx="25">
                  <c:v>-425.7608025087402</c:v>
                </c:pt>
                <c:pt idx="26">
                  <c:v>-398.82976573189023</c:v>
                </c:pt>
                <c:pt idx="27">
                  <c:v>-371.89872895504033</c:v>
                </c:pt>
                <c:pt idx="28">
                  <c:v>-344.96769217819036</c:v>
                </c:pt>
                <c:pt idx="29">
                  <c:v>-318.03665540134034</c:v>
                </c:pt>
                <c:pt idx="30">
                  <c:v>-291.10561862449032</c:v>
                </c:pt>
                <c:pt idx="31">
                  <c:v>-264.17458184764035</c:v>
                </c:pt>
                <c:pt idx="32">
                  <c:v>-237.24354507079033</c:v>
                </c:pt>
                <c:pt idx="33">
                  <c:v>-210.31250829394034</c:v>
                </c:pt>
                <c:pt idx="34">
                  <c:v>-183.38147151709035</c:v>
                </c:pt>
                <c:pt idx="35">
                  <c:v>-156.45043474024033</c:v>
                </c:pt>
                <c:pt idx="36">
                  <c:v>-129.51939796339033</c:v>
                </c:pt>
                <c:pt idx="37">
                  <c:v>-102.58836118654034</c:v>
                </c:pt>
                <c:pt idx="38">
                  <c:v>-75.657324409690446</c:v>
                </c:pt>
                <c:pt idx="39">
                  <c:v>-48.726287632840453</c:v>
                </c:pt>
                <c:pt idx="40">
                  <c:v>-21.795250855990453</c:v>
                </c:pt>
                <c:pt idx="41">
                  <c:v>5.1357859208595471</c:v>
                </c:pt>
                <c:pt idx="42">
                  <c:v>32.066822697709547</c:v>
                </c:pt>
                <c:pt idx="43">
                  <c:v>58.997859474559547</c:v>
                </c:pt>
                <c:pt idx="44">
                  <c:v>85.928896251409554</c:v>
                </c:pt>
                <c:pt idx="45">
                  <c:v>112.85993302825955</c:v>
                </c:pt>
                <c:pt idx="46">
                  <c:v>139.79096980510954</c:v>
                </c:pt>
                <c:pt idx="47">
                  <c:v>166.72200658195953</c:v>
                </c:pt>
                <c:pt idx="48">
                  <c:v>193.65304335880955</c:v>
                </c:pt>
                <c:pt idx="49">
                  <c:v>220.58408013565955</c:v>
                </c:pt>
                <c:pt idx="50">
                  <c:v>247.51511691250954</c:v>
                </c:pt>
                <c:pt idx="51">
                  <c:v>274.44615368935956</c:v>
                </c:pt>
                <c:pt idx="52">
                  <c:v>301.37719046620953</c:v>
                </c:pt>
                <c:pt idx="53">
                  <c:v>328.30822724305955</c:v>
                </c:pt>
                <c:pt idx="54">
                  <c:v>355.23926401990934</c:v>
                </c:pt>
                <c:pt idx="55">
                  <c:v>382.17030079675931</c:v>
                </c:pt>
                <c:pt idx="56">
                  <c:v>409.10133757360933</c:v>
                </c:pt>
                <c:pt idx="57">
                  <c:v>436.03237435045929</c:v>
                </c:pt>
                <c:pt idx="58">
                  <c:v>462.96341112730931</c:v>
                </c:pt>
                <c:pt idx="59">
                  <c:v>489.89444790415934</c:v>
                </c:pt>
                <c:pt idx="60">
                  <c:v>516.82548468100936</c:v>
                </c:pt>
                <c:pt idx="61">
                  <c:v>543.75652145785932</c:v>
                </c:pt>
                <c:pt idx="62">
                  <c:v>570.68755823470929</c:v>
                </c:pt>
                <c:pt idx="63">
                  <c:v>597.61859501155936</c:v>
                </c:pt>
                <c:pt idx="64">
                  <c:v>624.54963178840933</c:v>
                </c:pt>
                <c:pt idx="65">
                  <c:v>651.48066856525929</c:v>
                </c:pt>
                <c:pt idx="66">
                  <c:v>678.41170534210937</c:v>
                </c:pt>
                <c:pt idx="67">
                  <c:v>705.34274211895934</c:v>
                </c:pt>
                <c:pt idx="68">
                  <c:v>732.2737788958093</c:v>
                </c:pt>
                <c:pt idx="69">
                  <c:v>759.20481567265927</c:v>
                </c:pt>
                <c:pt idx="70">
                  <c:v>786.13585244950934</c:v>
                </c:pt>
                <c:pt idx="71">
                  <c:v>813.06688922635931</c:v>
                </c:pt>
                <c:pt idx="72">
                  <c:v>839.99792600320927</c:v>
                </c:pt>
                <c:pt idx="73">
                  <c:v>866.92896278005935</c:v>
                </c:pt>
                <c:pt idx="74">
                  <c:v>893.85999955690932</c:v>
                </c:pt>
                <c:pt idx="75">
                  <c:v>920.79103633375905</c:v>
                </c:pt>
                <c:pt idx="76">
                  <c:v>947.72207311060913</c:v>
                </c:pt>
                <c:pt idx="77">
                  <c:v>974.6531098874591</c:v>
                </c:pt>
                <c:pt idx="78">
                  <c:v>1001.5841466643091</c:v>
                </c:pt>
                <c:pt idx="79">
                  <c:v>1028.515183441159</c:v>
                </c:pt>
                <c:pt idx="80">
                  <c:v>1055.4462202180091</c:v>
                </c:pt>
                <c:pt idx="81">
                  <c:v>1082.3772569948592</c:v>
                </c:pt>
                <c:pt idx="82">
                  <c:v>1109.308293771709</c:v>
                </c:pt>
                <c:pt idx="83">
                  <c:v>1136.2393305485591</c:v>
                </c:pt>
                <c:pt idx="84">
                  <c:v>1163.1703673254092</c:v>
                </c:pt>
                <c:pt idx="85">
                  <c:v>1190.101404102259</c:v>
                </c:pt>
                <c:pt idx="86">
                  <c:v>1217.0324408791091</c:v>
                </c:pt>
                <c:pt idx="87">
                  <c:v>1243.9634776559592</c:v>
                </c:pt>
                <c:pt idx="88">
                  <c:v>1270.894514432809</c:v>
                </c:pt>
                <c:pt idx="89">
                  <c:v>1297.8255512096591</c:v>
                </c:pt>
                <c:pt idx="90">
                  <c:v>1324.756587986509</c:v>
                </c:pt>
                <c:pt idx="91">
                  <c:v>1351.6876247633591</c:v>
                </c:pt>
                <c:pt idx="92">
                  <c:v>1378.6186615402091</c:v>
                </c:pt>
                <c:pt idx="93">
                  <c:v>1405.549698317059</c:v>
                </c:pt>
                <c:pt idx="94">
                  <c:v>1432.4807350939091</c:v>
                </c:pt>
                <c:pt idx="95">
                  <c:v>1459.4117718707591</c:v>
                </c:pt>
                <c:pt idx="96">
                  <c:v>1486.342808647609</c:v>
                </c:pt>
                <c:pt idx="97">
                  <c:v>1513.2738454244591</c:v>
                </c:pt>
                <c:pt idx="98">
                  <c:v>1540.2048822013091</c:v>
                </c:pt>
                <c:pt idx="99">
                  <c:v>1567.1359189781592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894.03546159069651</c:v>
                </c:pt>
                <c:pt idx="1">
                  <c:v>894.03546159069651</c:v>
                </c:pt>
                <c:pt idx="2">
                  <c:v>894.03554658168889</c:v>
                </c:pt>
                <c:pt idx="3">
                  <c:v>894.06498110744815</c:v>
                </c:pt>
                <c:pt idx="4">
                  <c:v>894.14728885447664</c:v>
                </c:pt>
                <c:pt idx="5">
                  <c:v>894.28246982277449</c:v>
                </c:pt>
                <c:pt idx="6">
                  <c:v>894.47052401234191</c:v>
                </c:pt>
                <c:pt idx="7">
                  <c:v>894.71145142317846</c:v>
                </c:pt>
                <c:pt idx="8">
                  <c:v>895.00525205528447</c:v>
                </c:pt>
                <c:pt idx="9">
                  <c:v>895.35192590865984</c:v>
                </c:pt>
                <c:pt idx="10">
                  <c:v>895.75147298330455</c:v>
                </c:pt>
                <c:pt idx="11">
                  <c:v>896.20389327921873</c:v>
                </c:pt>
                <c:pt idx="12">
                  <c:v>896.70918679640204</c:v>
                </c:pt>
                <c:pt idx="13">
                  <c:v>897.26735353485492</c:v>
                </c:pt>
                <c:pt idx="14">
                  <c:v>897.87839349457715</c:v>
                </c:pt>
                <c:pt idx="15">
                  <c:v>898.54230667556885</c:v>
                </c:pt>
                <c:pt idx="16">
                  <c:v>899.25909307782968</c:v>
                </c:pt>
                <c:pt idx="17">
                  <c:v>900.02875270136008</c:v>
                </c:pt>
                <c:pt idx="18">
                  <c:v>900.85128554615972</c:v>
                </c:pt>
                <c:pt idx="19">
                  <c:v>901.72669161222871</c:v>
                </c:pt>
                <c:pt idx="20">
                  <c:v>902.65497089956716</c:v>
                </c:pt>
                <c:pt idx="21">
                  <c:v>903.63612340817497</c:v>
                </c:pt>
                <c:pt idx="22">
                  <c:v>904.67014913805201</c:v>
                </c:pt>
                <c:pt idx="23">
                  <c:v>905.75704808919852</c:v>
                </c:pt>
                <c:pt idx="24">
                  <c:v>906.89682026161438</c:v>
                </c:pt>
                <c:pt idx="25">
                  <c:v>908.0894656552997</c:v>
                </c:pt>
                <c:pt idx="26">
                  <c:v>909.33498427025427</c:v>
                </c:pt>
                <c:pt idx="27">
                  <c:v>910.63337610647829</c:v>
                </c:pt>
                <c:pt idx="28">
                  <c:v>911.98464116397167</c:v>
                </c:pt>
                <c:pt idx="29">
                  <c:v>913.38877944273429</c:v>
                </c:pt>
                <c:pt idx="30">
                  <c:v>914.84579094276637</c:v>
                </c:pt>
                <c:pt idx="31">
                  <c:v>916.3556756640678</c:v>
                </c:pt>
                <c:pt idx="32">
                  <c:v>917.91843360663859</c:v>
                </c:pt>
                <c:pt idx="33">
                  <c:v>919.53406477047872</c:v>
                </c:pt>
                <c:pt idx="34">
                  <c:v>921.20256915558832</c:v>
                </c:pt>
                <c:pt idx="35">
                  <c:v>922.92394676196727</c:v>
                </c:pt>
                <c:pt idx="36">
                  <c:v>924.69819758961546</c:v>
                </c:pt>
                <c:pt idx="37">
                  <c:v>926.52532163853311</c:v>
                </c:pt>
                <c:pt idx="38">
                  <c:v>928.40727520041389</c:v>
                </c:pt>
                <c:pt idx="39">
                  <c:v>930.40151830936895</c:v>
                </c:pt>
                <c:pt idx="40">
                  <c:v>932.53468271994791</c:v>
                </c:pt>
                <c:pt idx="41">
                  <c:v>934.80676843215088</c:v>
                </c:pt>
                <c:pt idx="42">
                  <c:v>937.21777544597762</c:v>
                </c:pt>
                <c:pt idx="43">
                  <c:v>939.76770376142838</c:v>
                </c:pt>
                <c:pt idx="44">
                  <c:v>942.45655337850292</c:v>
                </c:pt>
                <c:pt idx="45">
                  <c:v>945.28432429720147</c:v>
                </c:pt>
                <c:pt idx="46">
                  <c:v>948.25101651752402</c:v>
                </c:pt>
                <c:pt idx="47">
                  <c:v>951.35663003947036</c:v>
                </c:pt>
                <c:pt idx="48">
                  <c:v>954.60116486304082</c:v>
                </c:pt>
                <c:pt idx="49">
                  <c:v>957.98462098823495</c:v>
                </c:pt>
                <c:pt idx="50">
                  <c:v>961.5069984150532</c:v>
                </c:pt>
                <c:pt idx="51">
                  <c:v>965.16829714349524</c:v>
                </c:pt>
                <c:pt idx="52">
                  <c:v>968.96851717356128</c:v>
                </c:pt>
                <c:pt idx="53">
                  <c:v>972.90765850525133</c:v>
                </c:pt>
                <c:pt idx="54">
                  <c:v>976.98572113856505</c:v>
                </c:pt>
                <c:pt idx="55">
                  <c:v>981.2027050735029</c:v>
                </c:pt>
                <c:pt idx="56">
                  <c:v>985.55861031006452</c:v>
                </c:pt>
                <c:pt idx="57">
                  <c:v>990.05343684825027</c:v>
                </c:pt>
                <c:pt idx="58">
                  <c:v>994.68718468805969</c:v>
                </c:pt>
                <c:pt idx="59">
                  <c:v>999.45985382949311</c:v>
                </c:pt>
                <c:pt idx="60">
                  <c:v>1004.3714442725507</c:v>
                </c:pt>
                <c:pt idx="61">
                  <c:v>1009.4219560172319</c:v>
                </c:pt>
                <c:pt idx="62">
                  <c:v>1014.6113890635371</c:v>
                </c:pt>
                <c:pt idx="63">
                  <c:v>1019.9397434114662</c:v>
                </c:pt>
                <c:pt idx="64">
                  <c:v>1025.4070190610194</c:v>
                </c:pt>
                <c:pt idx="65">
                  <c:v>1031.0132160121964</c:v>
                </c:pt>
                <c:pt idx="66">
                  <c:v>1036.7583342649973</c:v>
                </c:pt>
                <c:pt idx="67">
                  <c:v>1042.6423738194221</c:v>
                </c:pt>
                <c:pt idx="68">
                  <c:v>1048.6653346754708</c:v>
                </c:pt>
                <c:pt idx="69">
                  <c:v>1054.8272168331434</c:v>
                </c:pt>
                <c:pt idx="70">
                  <c:v>1061.1280202924402</c:v>
                </c:pt>
                <c:pt idx="71">
                  <c:v>1067.5677450533608</c:v>
                </c:pt>
                <c:pt idx="72">
                  <c:v>1074.1463911159053</c:v>
                </c:pt>
                <c:pt idx="73">
                  <c:v>1080.8639584800735</c:v>
                </c:pt>
                <c:pt idx="74">
                  <c:v>1087.7204471458658</c:v>
                </c:pt>
                <c:pt idx="75">
                  <c:v>1094.715857113282</c:v>
                </c:pt>
                <c:pt idx="76">
                  <c:v>1101.8501883823221</c:v>
                </c:pt>
                <c:pt idx="77">
                  <c:v>1109.1234409529864</c:v>
                </c:pt>
                <c:pt idx="78">
                  <c:v>1116.535614825274</c:v>
                </c:pt>
                <c:pt idx="79">
                  <c:v>1124.086709999186</c:v>
                </c:pt>
                <c:pt idx="80">
                  <c:v>1131.776726474722</c:v>
                </c:pt>
                <c:pt idx="81">
                  <c:v>1139.6056642518818</c:v>
                </c:pt>
                <c:pt idx="82">
                  <c:v>1147.5735233306652</c:v>
                </c:pt>
                <c:pt idx="83">
                  <c:v>1155.6803037110728</c:v>
                </c:pt>
                <c:pt idx="84">
                  <c:v>1163.9260053931043</c:v>
                </c:pt>
                <c:pt idx="85">
                  <c:v>1172.3106283767597</c:v>
                </c:pt>
                <c:pt idx="86">
                  <c:v>1180.834172662039</c:v>
                </c:pt>
                <c:pt idx="87">
                  <c:v>1189.4966382489424</c:v>
                </c:pt>
                <c:pt idx="88">
                  <c:v>1198.2980251374697</c:v>
                </c:pt>
                <c:pt idx="89">
                  <c:v>1207.2383333276207</c:v>
                </c:pt>
                <c:pt idx="90">
                  <c:v>1216.3175628193958</c:v>
                </c:pt>
                <c:pt idx="91">
                  <c:v>1225.5357136127946</c:v>
                </c:pt>
                <c:pt idx="92">
                  <c:v>1234.8927857078177</c:v>
                </c:pt>
                <c:pt idx="93">
                  <c:v>1244.3887791044644</c:v>
                </c:pt>
                <c:pt idx="94">
                  <c:v>1254.0236938027351</c:v>
                </c:pt>
                <c:pt idx="95">
                  <c:v>1263.7975298026297</c:v>
                </c:pt>
                <c:pt idx="96">
                  <c:v>1273.7102871041484</c:v>
                </c:pt>
                <c:pt idx="97">
                  <c:v>1283.761965707291</c:v>
                </c:pt>
                <c:pt idx="98">
                  <c:v>1293.9525656120572</c:v>
                </c:pt>
                <c:pt idx="99">
                  <c:v>1304.2820868184476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-65.922342260089408</c:v>
                </c:pt>
                <c:pt idx="1">
                  <c:v>-65.922342260089408</c:v>
                </c:pt>
                <c:pt idx="2">
                  <c:v>-65.919194200909146</c:v>
                </c:pt>
                <c:pt idx="3">
                  <c:v>-65.837732624902003</c:v>
                </c:pt>
                <c:pt idx="4">
                  <c:v>-65.646037343813106</c:v>
                </c:pt>
                <c:pt idx="5">
                  <c:v>-65.344108357642483</c:v>
                </c:pt>
                <c:pt idx="6">
                  <c:v>-64.931945666390078</c:v>
                </c:pt>
                <c:pt idx="7">
                  <c:v>-64.409549270055948</c:v>
                </c:pt>
                <c:pt idx="8">
                  <c:v>-63.77691916864007</c:v>
                </c:pt>
                <c:pt idx="9">
                  <c:v>-63.034055362142446</c:v>
                </c:pt>
                <c:pt idx="10">
                  <c:v>-62.180957850563054</c:v>
                </c:pt>
                <c:pt idx="11">
                  <c:v>-61.217626633901915</c:v>
                </c:pt>
                <c:pt idx="12">
                  <c:v>-60.144061712159044</c:v>
                </c:pt>
                <c:pt idx="13">
                  <c:v>-58.960263085334418</c:v>
                </c:pt>
                <c:pt idx="14">
                  <c:v>-57.666230753428039</c:v>
                </c:pt>
                <c:pt idx="15">
                  <c:v>-56.26196471643992</c:v>
                </c:pt>
                <c:pt idx="16">
                  <c:v>-54.747464974370047</c:v>
                </c:pt>
                <c:pt idx="17">
                  <c:v>-53.122731527218427</c:v>
                </c:pt>
                <c:pt idx="18">
                  <c:v>-51.387764374985061</c:v>
                </c:pt>
                <c:pt idx="19">
                  <c:v>-49.54256351766994</c:v>
                </c:pt>
                <c:pt idx="20">
                  <c:v>-47.587128955273073</c:v>
                </c:pt>
                <c:pt idx="21">
                  <c:v>-45.521460687794466</c:v>
                </c:pt>
                <c:pt idx="22">
                  <c:v>-43.345558715234091</c:v>
                </c:pt>
                <c:pt idx="23">
                  <c:v>-41.059423037591984</c:v>
                </c:pt>
                <c:pt idx="24">
                  <c:v>-38.663053654868122</c:v>
                </c:pt>
                <c:pt idx="25">
                  <c:v>-36.156450567062514</c:v>
                </c:pt>
                <c:pt idx="26">
                  <c:v>-33.539613774175159</c:v>
                </c:pt>
                <c:pt idx="27">
                  <c:v>-30.812543276206057</c:v>
                </c:pt>
                <c:pt idx="28">
                  <c:v>-27.975239073155194</c:v>
                </c:pt>
                <c:pt idx="29">
                  <c:v>-25.027701165022599</c:v>
                </c:pt>
                <c:pt idx="30">
                  <c:v>-21.969929551808242</c:v>
                </c:pt>
                <c:pt idx="31">
                  <c:v>-18.80192423351215</c:v>
                </c:pt>
                <c:pt idx="32">
                  <c:v>-15.523685210134296</c:v>
                </c:pt>
                <c:pt idx="33">
                  <c:v>-12.13521248167469</c:v>
                </c:pt>
                <c:pt idx="34">
                  <c:v>-8.6358109025382692</c:v>
                </c:pt>
                <c:pt idx="35">
                  <c:v>-4.981383084496275</c:v>
                </c:pt>
                <c:pt idx="36">
                  <c:v>-1.1456297018264001</c:v>
                </c:pt>
                <c:pt idx="37">
                  <c:v>2.87144924547139</c:v>
                </c:pt>
                <c:pt idx="38">
                  <c:v>7.0698537573970786</c:v>
                </c:pt>
                <c:pt idx="39">
                  <c:v>11.449583833950644</c:v>
                </c:pt>
                <c:pt idx="40">
                  <c:v>16.01063947513213</c:v>
                </c:pt>
                <c:pt idx="41">
                  <c:v>20.753020680941511</c:v>
                </c:pt>
                <c:pt idx="42">
                  <c:v>25.676727451378746</c:v>
                </c:pt>
                <c:pt idx="43">
                  <c:v>30.781759786443924</c:v>
                </c:pt>
                <c:pt idx="44">
                  <c:v>36.068117686137001</c:v>
                </c:pt>
                <c:pt idx="45">
                  <c:v>41.535801150457971</c:v>
                </c:pt>
                <c:pt idx="46">
                  <c:v>47.184810179406846</c:v>
                </c:pt>
                <c:pt idx="47">
                  <c:v>53.015144772983561</c:v>
                </c:pt>
                <c:pt idx="48">
                  <c:v>59.026804931188224</c:v>
                </c:pt>
                <c:pt idx="49">
                  <c:v>65.219790654020798</c:v>
                </c:pt>
                <c:pt idx="50">
                  <c:v>71.594101941481256</c:v>
                </c:pt>
                <c:pt idx="51">
                  <c:v>78.149738793569611</c:v>
                </c:pt>
                <c:pt idx="52">
                  <c:v>84.886701210285821</c:v>
                </c:pt>
                <c:pt idx="53">
                  <c:v>91.804989191629971</c:v>
                </c:pt>
                <c:pt idx="54">
                  <c:v>98.904602737602033</c:v>
                </c:pt>
                <c:pt idx="55">
                  <c:v>106.18554184820198</c:v>
                </c:pt>
                <c:pt idx="56">
                  <c:v>113.64780652342984</c:v>
                </c:pt>
                <c:pt idx="57">
                  <c:v>121.29139676328549</c:v>
                </c:pt>
                <c:pt idx="58">
                  <c:v>129.11631256776914</c:v>
                </c:pt>
                <c:pt idx="59">
                  <c:v>137.12255393688071</c:v>
                </c:pt>
                <c:pt idx="60">
                  <c:v>145.31012087062015</c:v>
                </c:pt>
                <c:pt idx="61">
                  <c:v>153.67901336898748</c:v>
                </c:pt>
                <c:pt idx="62">
                  <c:v>162.22923143198267</c:v>
                </c:pt>
                <c:pt idx="63">
                  <c:v>170.96077505960579</c:v>
                </c:pt>
                <c:pt idx="64">
                  <c:v>179.87364425185683</c:v>
                </c:pt>
                <c:pt idx="65">
                  <c:v>188.96783900873575</c:v>
                </c:pt>
                <c:pt idx="66">
                  <c:v>198.24335933024258</c:v>
                </c:pt>
                <c:pt idx="67">
                  <c:v>207.70020521637724</c:v>
                </c:pt>
                <c:pt idx="68">
                  <c:v>217.33837666713987</c:v>
                </c:pt>
                <c:pt idx="69">
                  <c:v>227.15787368253038</c:v>
                </c:pt>
                <c:pt idx="70">
                  <c:v>237.1586962625488</c:v>
                </c:pt>
                <c:pt idx="71">
                  <c:v>247.34084440719511</c:v>
                </c:pt>
                <c:pt idx="72">
                  <c:v>257.70431811646921</c:v>
                </c:pt>
                <c:pt idx="73">
                  <c:v>268.24911739037134</c:v>
                </c:pt>
                <c:pt idx="74">
                  <c:v>278.97524222890138</c:v>
                </c:pt>
                <c:pt idx="75">
                  <c:v>289.88269263205927</c:v>
                </c:pt>
                <c:pt idx="76">
                  <c:v>300.97146859984508</c:v>
                </c:pt>
                <c:pt idx="77">
                  <c:v>312.24157013225869</c:v>
                </c:pt>
                <c:pt idx="78">
                  <c:v>323.69299722930026</c:v>
                </c:pt>
                <c:pt idx="79">
                  <c:v>335.3257498909698</c:v>
                </c:pt>
                <c:pt idx="80">
                  <c:v>347.1398281172672</c:v>
                </c:pt>
                <c:pt idx="81">
                  <c:v>359.13523190819245</c:v>
                </c:pt>
                <c:pt idx="82">
                  <c:v>371.31196126374567</c:v>
                </c:pt>
                <c:pt idx="83">
                  <c:v>383.67001618392675</c:v>
                </c:pt>
                <c:pt idx="84">
                  <c:v>396.20939666873556</c:v>
                </c:pt>
                <c:pt idx="85">
                  <c:v>408.93010271817246</c:v>
                </c:pt>
                <c:pt idx="86">
                  <c:v>421.83213433223722</c:v>
                </c:pt>
                <c:pt idx="87">
                  <c:v>434.91549151092988</c:v>
                </c:pt>
                <c:pt idx="88">
                  <c:v>448.18017425425046</c:v>
                </c:pt>
                <c:pt idx="89">
                  <c:v>461.62618256219895</c:v>
                </c:pt>
                <c:pt idx="90">
                  <c:v>475.25351643477529</c:v>
                </c:pt>
                <c:pt idx="91">
                  <c:v>489.06217587197955</c:v>
                </c:pt>
                <c:pt idx="92">
                  <c:v>503.05216087381172</c:v>
                </c:pt>
                <c:pt idx="93">
                  <c:v>517.22347144027185</c:v>
                </c:pt>
                <c:pt idx="94">
                  <c:v>531.57610757135956</c:v>
                </c:pt>
                <c:pt idx="95">
                  <c:v>546.11006926707546</c:v>
                </c:pt>
                <c:pt idx="96">
                  <c:v>560.82535652741922</c:v>
                </c:pt>
                <c:pt idx="97">
                  <c:v>575.72196935239083</c:v>
                </c:pt>
                <c:pt idx="98">
                  <c:v>590.79990774199041</c:v>
                </c:pt>
                <c:pt idx="99">
                  <c:v>606.05917169621785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-964.50294412273126</c:v>
                </c:pt>
                <c:pt idx="1">
                  <c:v>-938.42205611225586</c:v>
                </c:pt>
                <c:pt idx="2">
                  <c:v>-912.34116810178068</c:v>
                </c:pt>
                <c:pt idx="3">
                  <c:v>-886.26028009130539</c:v>
                </c:pt>
                <c:pt idx="4">
                  <c:v>-860.17939208083021</c:v>
                </c:pt>
                <c:pt idx="5">
                  <c:v>-834.09850407035481</c:v>
                </c:pt>
                <c:pt idx="6">
                  <c:v>-808.01761605987951</c:v>
                </c:pt>
                <c:pt idx="7">
                  <c:v>-781.93672804940434</c:v>
                </c:pt>
                <c:pt idx="8">
                  <c:v>-755.85584003892905</c:v>
                </c:pt>
                <c:pt idx="9">
                  <c:v>-729.77495202845387</c:v>
                </c:pt>
                <c:pt idx="10">
                  <c:v>-703.69406401797846</c:v>
                </c:pt>
                <c:pt idx="11">
                  <c:v>-677.61317600750317</c:v>
                </c:pt>
                <c:pt idx="12">
                  <c:v>-651.53228799702799</c:v>
                </c:pt>
                <c:pt idx="13">
                  <c:v>-625.45139998655281</c:v>
                </c:pt>
                <c:pt idx="14">
                  <c:v>-599.37051197607741</c:v>
                </c:pt>
                <c:pt idx="15">
                  <c:v>-573.28962396560212</c:v>
                </c:pt>
                <c:pt idx="16">
                  <c:v>-547.20873595512683</c:v>
                </c:pt>
                <c:pt idx="17">
                  <c:v>-521.12784794465165</c:v>
                </c:pt>
                <c:pt idx="18">
                  <c:v>-495.04695993417636</c:v>
                </c:pt>
                <c:pt idx="19">
                  <c:v>-468.96607192370101</c:v>
                </c:pt>
                <c:pt idx="20">
                  <c:v>-442.88518391322577</c:v>
                </c:pt>
                <c:pt idx="21">
                  <c:v>-416.8042959027506</c:v>
                </c:pt>
                <c:pt idx="22">
                  <c:v>-390.72340789227525</c:v>
                </c:pt>
                <c:pt idx="23">
                  <c:v>-364.64251988179996</c:v>
                </c:pt>
                <c:pt idx="24">
                  <c:v>-338.56163187132472</c:v>
                </c:pt>
                <c:pt idx="25">
                  <c:v>-312.48074386084943</c:v>
                </c:pt>
                <c:pt idx="26">
                  <c:v>-286.39985585037419</c:v>
                </c:pt>
                <c:pt idx="27">
                  <c:v>-260.3189678398989</c:v>
                </c:pt>
                <c:pt idx="28">
                  <c:v>-234.23807982942358</c:v>
                </c:pt>
                <c:pt idx="29">
                  <c:v>-208.15719181894838</c:v>
                </c:pt>
                <c:pt idx="30">
                  <c:v>-182.07630380847306</c:v>
                </c:pt>
                <c:pt idx="31">
                  <c:v>-155.99541579799785</c:v>
                </c:pt>
                <c:pt idx="32">
                  <c:v>-129.91452778752253</c:v>
                </c:pt>
                <c:pt idx="33">
                  <c:v>-103.83363977704721</c:v>
                </c:pt>
                <c:pt idx="34">
                  <c:v>-77.752751766572004</c:v>
                </c:pt>
                <c:pt idx="35">
                  <c:v>-51.671863756096691</c:v>
                </c:pt>
                <c:pt idx="36">
                  <c:v>-25.590975745621485</c:v>
                </c:pt>
                <c:pt idx="37">
                  <c:v>0.48991226485383232</c:v>
                </c:pt>
                <c:pt idx="38">
                  <c:v>26.570800275329152</c:v>
                </c:pt>
                <c:pt idx="39">
                  <c:v>52.651688285804354</c:v>
                </c:pt>
                <c:pt idx="40">
                  <c:v>78.732576296279674</c:v>
                </c:pt>
                <c:pt idx="41">
                  <c:v>104.81346430675499</c:v>
                </c:pt>
                <c:pt idx="42">
                  <c:v>130.89435231723007</c:v>
                </c:pt>
                <c:pt idx="43">
                  <c:v>156.97524032770539</c:v>
                </c:pt>
                <c:pt idx="44">
                  <c:v>183.05612833818071</c:v>
                </c:pt>
                <c:pt idx="45">
                  <c:v>209.13701634865603</c:v>
                </c:pt>
                <c:pt idx="46">
                  <c:v>235.21790435913135</c:v>
                </c:pt>
                <c:pt idx="47">
                  <c:v>261.29879236960642</c:v>
                </c:pt>
                <c:pt idx="48">
                  <c:v>287.37968038008177</c:v>
                </c:pt>
                <c:pt idx="49">
                  <c:v>313.46056839055706</c:v>
                </c:pt>
                <c:pt idx="50">
                  <c:v>339.54145640103241</c:v>
                </c:pt>
                <c:pt idx="51">
                  <c:v>365.6223444115077</c:v>
                </c:pt>
                <c:pt idx="52">
                  <c:v>391.70323242198282</c:v>
                </c:pt>
                <c:pt idx="53">
                  <c:v>417.78412043245811</c:v>
                </c:pt>
                <c:pt idx="54">
                  <c:v>443.86500844293346</c:v>
                </c:pt>
                <c:pt idx="55">
                  <c:v>469.94589645340875</c:v>
                </c:pt>
                <c:pt idx="56">
                  <c:v>496.0267844638841</c:v>
                </c:pt>
                <c:pt idx="57">
                  <c:v>522.10767247435911</c:v>
                </c:pt>
                <c:pt idx="58">
                  <c:v>548.18856048483451</c:v>
                </c:pt>
                <c:pt idx="59">
                  <c:v>574.2694484953098</c:v>
                </c:pt>
                <c:pt idx="60">
                  <c:v>600.35033650578509</c:v>
                </c:pt>
                <c:pt idx="61">
                  <c:v>626.43122451626039</c:v>
                </c:pt>
                <c:pt idx="62">
                  <c:v>652.51211252673556</c:v>
                </c:pt>
                <c:pt idx="63">
                  <c:v>678.59300053721086</c:v>
                </c:pt>
                <c:pt idx="64">
                  <c:v>704.67388854768615</c:v>
                </c:pt>
                <c:pt idx="65">
                  <c:v>730.75477655816144</c:v>
                </c:pt>
                <c:pt idx="66">
                  <c:v>756.83566456863684</c:v>
                </c:pt>
                <c:pt idx="67">
                  <c:v>782.91655257911191</c:v>
                </c:pt>
                <c:pt idx="68">
                  <c:v>808.9974405895872</c:v>
                </c:pt>
                <c:pt idx="69">
                  <c:v>835.07832860006249</c:v>
                </c:pt>
                <c:pt idx="70">
                  <c:v>861.1592166105379</c:v>
                </c:pt>
                <c:pt idx="71">
                  <c:v>887.24010462101319</c:v>
                </c:pt>
                <c:pt idx="72">
                  <c:v>913.32099263148825</c:v>
                </c:pt>
                <c:pt idx="73">
                  <c:v>939.40188064196354</c:v>
                </c:pt>
                <c:pt idx="74">
                  <c:v>965.48276865243884</c:v>
                </c:pt>
                <c:pt idx="75">
                  <c:v>991.56365666291424</c:v>
                </c:pt>
                <c:pt idx="76">
                  <c:v>1017.6445446733895</c:v>
                </c:pt>
                <c:pt idx="77">
                  <c:v>1043.7254326838647</c:v>
                </c:pt>
                <c:pt idx="78">
                  <c:v>1069.80632069434</c:v>
                </c:pt>
                <c:pt idx="79">
                  <c:v>1095.8872087048153</c:v>
                </c:pt>
                <c:pt idx="80">
                  <c:v>1121.9680967152906</c:v>
                </c:pt>
                <c:pt idx="81">
                  <c:v>1148.0489847257659</c:v>
                </c:pt>
                <c:pt idx="82">
                  <c:v>1174.1298727362412</c:v>
                </c:pt>
                <c:pt idx="83">
                  <c:v>1200.2107607467165</c:v>
                </c:pt>
                <c:pt idx="84">
                  <c:v>1226.2916487571913</c:v>
                </c:pt>
                <c:pt idx="85">
                  <c:v>1252.3725367676666</c:v>
                </c:pt>
                <c:pt idx="86">
                  <c:v>1278.4534247781421</c:v>
                </c:pt>
                <c:pt idx="87">
                  <c:v>1304.5343127886174</c:v>
                </c:pt>
                <c:pt idx="88">
                  <c:v>1330.6152007990927</c:v>
                </c:pt>
                <c:pt idx="89">
                  <c:v>1356.696088809568</c:v>
                </c:pt>
                <c:pt idx="90">
                  <c:v>1382.7769768200433</c:v>
                </c:pt>
                <c:pt idx="91">
                  <c:v>1408.8578648305186</c:v>
                </c:pt>
                <c:pt idx="92">
                  <c:v>1434.9387528409939</c:v>
                </c:pt>
                <c:pt idx="93">
                  <c:v>1461.0196408514691</c:v>
                </c:pt>
                <c:pt idx="94">
                  <c:v>1487.100528861944</c:v>
                </c:pt>
                <c:pt idx="95">
                  <c:v>1513.1814168724195</c:v>
                </c:pt>
                <c:pt idx="96">
                  <c:v>1539.2623048828948</c:v>
                </c:pt>
                <c:pt idx="97">
                  <c:v>1565.3431928933701</c:v>
                </c:pt>
                <c:pt idx="98">
                  <c:v>1591.4240809038454</c:v>
                </c:pt>
                <c:pt idx="99">
                  <c:v>1617.5049689143207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903.28440818163347</c:v>
                </c:pt>
                <c:pt idx="1">
                  <c:v>903.28440818163347</c:v>
                </c:pt>
                <c:pt idx="2">
                  <c:v>903.28577825093805</c:v>
                </c:pt>
                <c:pt idx="3">
                  <c:v>903.32123120731512</c:v>
                </c:pt>
                <c:pt idx="4">
                  <c:v>903.40465906092709</c:v>
                </c:pt>
                <c:pt idx="5">
                  <c:v>903.53606181177406</c:v>
                </c:pt>
                <c:pt idx="6">
                  <c:v>903.71543945985604</c:v>
                </c:pt>
                <c:pt idx="7">
                  <c:v>903.94279200517292</c:v>
                </c:pt>
                <c:pt idx="8">
                  <c:v>904.2181194477248</c:v>
                </c:pt>
                <c:pt idx="9">
                  <c:v>904.54142178751169</c:v>
                </c:pt>
                <c:pt idx="10">
                  <c:v>904.91269902453348</c:v>
                </c:pt>
                <c:pt idx="11">
                  <c:v>905.33195115879028</c:v>
                </c:pt>
                <c:pt idx="12">
                  <c:v>905.79917819028208</c:v>
                </c:pt>
                <c:pt idx="13">
                  <c:v>906.31438011900877</c:v>
                </c:pt>
                <c:pt idx="14">
                  <c:v>906.87755694497048</c:v>
                </c:pt>
                <c:pt idx="15">
                  <c:v>907.48870866816719</c:v>
                </c:pt>
                <c:pt idx="16">
                  <c:v>908.14783528859891</c:v>
                </c:pt>
                <c:pt idx="17">
                  <c:v>908.85493680626553</c:v>
                </c:pt>
                <c:pt idx="18">
                  <c:v>909.61001322116704</c:v>
                </c:pt>
                <c:pt idx="19">
                  <c:v>910.41306453330355</c:v>
                </c:pt>
                <c:pt idx="20">
                  <c:v>911.26409074267519</c:v>
                </c:pt>
                <c:pt idx="21">
                  <c:v>912.16309184928173</c:v>
                </c:pt>
                <c:pt idx="22">
                  <c:v>913.11006785312316</c:v>
                </c:pt>
                <c:pt idx="23">
                  <c:v>914.10501875419959</c:v>
                </c:pt>
                <c:pt idx="24">
                  <c:v>915.14794455251115</c:v>
                </c:pt>
                <c:pt idx="25">
                  <c:v>916.23884524805749</c:v>
                </c:pt>
                <c:pt idx="26">
                  <c:v>917.37772084083883</c:v>
                </c:pt>
                <c:pt idx="27">
                  <c:v>918.56457133085519</c:v>
                </c:pt>
                <c:pt idx="28">
                  <c:v>919.79939671810644</c:v>
                </c:pt>
                <c:pt idx="29">
                  <c:v>921.08219700259269</c:v>
                </c:pt>
                <c:pt idx="30">
                  <c:v>922.41297218431407</c:v>
                </c:pt>
                <c:pt idx="31">
                  <c:v>923.79172226327034</c:v>
                </c:pt>
                <c:pt idx="32">
                  <c:v>925.21844723946151</c:v>
                </c:pt>
                <c:pt idx="33">
                  <c:v>926.69314711288757</c:v>
                </c:pt>
                <c:pt idx="34">
                  <c:v>928.21662833335699</c:v>
                </c:pt>
                <c:pt idx="35">
                  <c:v>929.84004900435343</c:v>
                </c:pt>
                <c:pt idx="36">
                  <c:v>931.59391940507692</c:v>
                </c:pt>
                <c:pt idx="37">
                  <c:v>933.47823953552722</c:v>
                </c:pt>
                <c:pt idx="38">
                  <c:v>935.49300939570423</c:v>
                </c:pt>
                <c:pt idx="39">
                  <c:v>937.63822898560829</c:v>
                </c:pt>
                <c:pt idx="40">
                  <c:v>939.91389830523929</c:v>
                </c:pt>
                <c:pt idx="41">
                  <c:v>942.3200173545971</c:v>
                </c:pt>
                <c:pt idx="42">
                  <c:v>944.85658613368184</c:v>
                </c:pt>
                <c:pt idx="43">
                  <c:v>947.52360464249352</c:v>
                </c:pt>
                <c:pt idx="44">
                  <c:v>950.32107288103202</c:v>
                </c:pt>
                <c:pt idx="45">
                  <c:v>953.24899084929746</c:v>
                </c:pt>
                <c:pt idx="46">
                  <c:v>956.30735854728971</c:v>
                </c:pt>
                <c:pt idx="47">
                  <c:v>959.49617597500901</c:v>
                </c:pt>
                <c:pt idx="48">
                  <c:v>962.81544313245513</c:v>
                </c:pt>
                <c:pt idx="49">
                  <c:v>966.26516001962807</c:v>
                </c:pt>
                <c:pt idx="50">
                  <c:v>969.84532663652806</c:v>
                </c:pt>
                <c:pt idx="51">
                  <c:v>973.55594298315475</c:v>
                </c:pt>
                <c:pt idx="52">
                  <c:v>977.39700905950849</c:v>
                </c:pt>
                <c:pt idx="53">
                  <c:v>981.36852486558894</c:v>
                </c:pt>
                <c:pt idx="54">
                  <c:v>985.47049040139655</c:v>
                </c:pt>
                <c:pt idx="55">
                  <c:v>989.70290566693097</c:v>
                </c:pt>
                <c:pt idx="56">
                  <c:v>994.06577066219211</c:v>
                </c:pt>
                <c:pt idx="57">
                  <c:v>998.55908538718029</c:v>
                </c:pt>
                <c:pt idx="58">
                  <c:v>1003.1828498418954</c:v>
                </c:pt>
                <c:pt idx="59">
                  <c:v>1007.9370640263373</c:v>
                </c:pt>
                <c:pt idx="60">
                  <c:v>1012.8217279405062</c:v>
                </c:pt>
                <c:pt idx="61">
                  <c:v>1017.836841584402</c:v>
                </c:pt>
                <c:pt idx="62">
                  <c:v>1022.9824049580246</c:v>
                </c:pt>
                <c:pt idx="63">
                  <c:v>1028.2584180613742</c:v>
                </c:pt>
                <c:pt idx="64">
                  <c:v>1033.6648808944506</c:v>
                </c:pt>
                <c:pt idx="65">
                  <c:v>1039.2017934572539</c:v>
                </c:pt>
                <c:pt idx="66">
                  <c:v>1044.8691557497841</c:v>
                </c:pt>
                <c:pt idx="67">
                  <c:v>1050.6669677720413</c:v>
                </c:pt>
                <c:pt idx="68">
                  <c:v>1056.5952295240252</c:v>
                </c:pt>
                <c:pt idx="69">
                  <c:v>1062.6539410057362</c:v>
                </c:pt>
                <c:pt idx="70">
                  <c:v>1068.8431022171742</c:v>
                </c:pt>
                <c:pt idx="71">
                  <c:v>1075.1627131583389</c:v>
                </c:pt>
                <c:pt idx="72">
                  <c:v>1081.6127738292303</c:v>
                </c:pt>
                <c:pt idx="73">
                  <c:v>1088.1932842298488</c:v>
                </c:pt>
                <c:pt idx="74">
                  <c:v>1094.9042443601941</c:v>
                </c:pt>
                <c:pt idx="75">
                  <c:v>1101.7456542202665</c:v>
                </c:pt>
                <c:pt idx="76">
                  <c:v>1108.7175138100656</c:v>
                </c:pt>
                <c:pt idx="77">
                  <c:v>1115.8198231295917</c:v>
                </c:pt>
                <c:pt idx="78">
                  <c:v>1123.0525821788447</c:v>
                </c:pt>
                <c:pt idx="79">
                  <c:v>1130.4157909578246</c:v>
                </c:pt>
                <c:pt idx="80">
                  <c:v>1137.9094494665314</c:v>
                </c:pt>
                <c:pt idx="81">
                  <c:v>1145.533557704965</c:v>
                </c:pt>
                <c:pt idx="82">
                  <c:v>1153.2881156731257</c:v>
                </c:pt>
                <c:pt idx="83">
                  <c:v>1161.1731233710129</c:v>
                </c:pt>
                <c:pt idx="84">
                  <c:v>1169.1885807986273</c:v>
                </c:pt>
                <c:pt idx="85">
                  <c:v>1177.3344879559686</c:v>
                </c:pt>
                <c:pt idx="86">
                  <c:v>1185.6108448430368</c:v>
                </c:pt>
                <c:pt idx="87">
                  <c:v>1194.0176514598318</c:v>
                </c:pt>
                <c:pt idx="88">
                  <c:v>1202.5549078063536</c:v>
                </c:pt>
                <c:pt idx="89">
                  <c:v>1211.2226138826027</c:v>
                </c:pt>
                <c:pt idx="90">
                  <c:v>1220.0207696885784</c:v>
                </c:pt>
                <c:pt idx="91">
                  <c:v>1228.9493752242809</c:v>
                </c:pt>
                <c:pt idx="92">
                  <c:v>1238.0084304897105</c:v>
                </c:pt>
                <c:pt idx="93">
                  <c:v>1247.1979354848668</c:v>
                </c:pt>
                <c:pt idx="94">
                  <c:v>1256.5178902097498</c:v>
                </c:pt>
                <c:pt idx="95">
                  <c:v>1265.9682946643602</c:v>
                </c:pt>
                <c:pt idx="96">
                  <c:v>1275.5491488486973</c:v>
                </c:pt>
                <c:pt idx="97">
                  <c:v>1285.2604527627611</c:v>
                </c:pt>
                <c:pt idx="98">
                  <c:v>1295.1022064065523</c:v>
                </c:pt>
                <c:pt idx="99">
                  <c:v>1305.07440978007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-61.085526007195391</c:v>
                </c:pt>
                <c:pt idx="1">
                  <c:v>-61.085526007195391</c:v>
                </c:pt>
                <c:pt idx="2">
                  <c:v>-61.080668580521099</c:v>
                </c:pt>
                <c:pt idx="3">
                  <c:v>-60.993334347385428</c:v>
                </c:pt>
                <c:pt idx="4">
                  <c:v>-60.79654842756463</c:v>
                </c:pt>
                <c:pt idx="5">
                  <c:v>-60.490310821058721</c:v>
                </c:pt>
                <c:pt idx="6">
                  <c:v>-60.074621527867698</c:v>
                </c:pt>
                <c:pt idx="7">
                  <c:v>-59.549480547991564</c:v>
                </c:pt>
                <c:pt idx="8">
                  <c:v>-58.914887881430289</c:v>
                </c:pt>
                <c:pt idx="9">
                  <c:v>-58.170843528183923</c:v>
                </c:pt>
                <c:pt idx="10">
                  <c:v>-57.317347488252423</c:v>
                </c:pt>
                <c:pt idx="11">
                  <c:v>-56.354399761635818</c:v>
                </c:pt>
                <c:pt idx="12">
                  <c:v>-55.282000348334094</c:v>
                </c:pt>
                <c:pt idx="13">
                  <c:v>-54.100149248347243</c:v>
                </c:pt>
                <c:pt idx="14">
                  <c:v>-52.808846461675294</c:v>
                </c:pt>
                <c:pt idx="15">
                  <c:v>-51.408091988318212</c:v>
                </c:pt>
                <c:pt idx="16">
                  <c:v>-49.897885828276024</c:v>
                </c:pt>
                <c:pt idx="17">
                  <c:v>-48.278227981548703</c:v>
                </c:pt>
                <c:pt idx="18">
                  <c:v>-46.549118448136284</c:v>
                </c:pt>
                <c:pt idx="19">
                  <c:v>-44.710557228038738</c:v>
                </c:pt>
                <c:pt idx="20">
                  <c:v>-42.76254432125608</c:v>
                </c:pt>
                <c:pt idx="21">
                  <c:v>-40.705079727788302</c:v>
                </c:pt>
                <c:pt idx="22">
                  <c:v>-38.538163447635419</c:v>
                </c:pt>
                <c:pt idx="23">
                  <c:v>-36.261795480797403</c:v>
                </c:pt>
                <c:pt idx="24">
                  <c:v>-33.875975827274274</c:v>
                </c:pt>
                <c:pt idx="25">
                  <c:v>-31.38070448706603</c:v>
                </c:pt>
                <c:pt idx="26">
                  <c:v>-28.77598146017267</c:v>
                </c:pt>
                <c:pt idx="27">
                  <c:v>-26.061806746594208</c:v>
                </c:pt>
                <c:pt idx="28">
                  <c:v>-23.238180346330605</c:v>
                </c:pt>
                <c:pt idx="29">
                  <c:v>-20.305102259381894</c:v>
                </c:pt>
                <c:pt idx="30">
                  <c:v>-17.262572485748077</c:v>
                </c:pt>
                <c:pt idx="31">
                  <c:v>-14.110591025429134</c:v>
                </c:pt>
                <c:pt idx="32">
                  <c:v>-10.849157878425068</c:v>
                </c:pt>
                <c:pt idx="33">
                  <c:v>-7.4721840577732461</c:v>
                </c:pt>
                <c:pt idx="34">
                  <c:v>-3.925934971924653</c:v>
                </c:pt>
                <c:pt idx="35">
                  <c:v>-0.19780671290435059</c:v>
                </c:pt>
                <c:pt idx="36">
                  <c:v>3.7122007192876962</c:v>
                </c:pt>
                <c:pt idx="37">
                  <c:v>7.804087324651471</c:v>
                </c:pt>
                <c:pt idx="38">
                  <c:v>12.077853103186952</c:v>
                </c:pt>
                <c:pt idx="39">
                  <c:v>16.533498054894181</c:v>
                </c:pt>
                <c:pt idx="40">
                  <c:v>21.171022179773139</c:v>
                </c:pt>
                <c:pt idx="41">
                  <c:v>25.990425477823823</c:v>
                </c:pt>
                <c:pt idx="42">
                  <c:v>30.991707949046233</c:v>
                </c:pt>
                <c:pt idx="43">
                  <c:v>36.17486959344037</c:v>
                </c:pt>
                <c:pt idx="44">
                  <c:v>41.53991041100619</c:v>
                </c:pt>
                <c:pt idx="45">
                  <c:v>47.086830401743789</c:v>
                </c:pt>
                <c:pt idx="46">
                  <c:v>52.815629565653104</c:v>
                </c:pt>
                <c:pt idx="47">
                  <c:v>58.726307902734149</c:v>
                </c:pt>
                <c:pt idx="48">
                  <c:v>64.818865412986924</c:v>
                </c:pt>
                <c:pt idx="49">
                  <c:v>71.093302096411421</c:v>
                </c:pt>
                <c:pt idx="50">
                  <c:v>77.549617953007655</c:v>
                </c:pt>
                <c:pt idx="51">
                  <c:v>84.187812982775625</c:v>
                </c:pt>
                <c:pt idx="52">
                  <c:v>91.007887185715305</c:v>
                </c:pt>
                <c:pt idx="53">
                  <c:v>98.00984056182665</c:v>
                </c:pt>
                <c:pt idx="54">
                  <c:v>105.19367311110979</c:v>
                </c:pt>
                <c:pt idx="55">
                  <c:v>112.55938483356465</c:v>
                </c:pt>
                <c:pt idx="56">
                  <c:v>120.10697572919126</c:v>
                </c:pt>
                <c:pt idx="57">
                  <c:v>127.83644579798958</c:v>
                </c:pt>
                <c:pt idx="58">
                  <c:v>135.74779503995964</c:v>
                </c:pt>
                <c:pt idx="59">
                  <c:v>143.84102345510141</c:v>
                </c:pt>
                <c:pt idx="60">
                  <c:v>152.11613104341484</c:v>
                </c:pt>
                <c:pt idx="61">
                  <c:v>160.57311780490008</c:v>
                </c:pt>
                <c:pt idx="62">
                  <c:v>169.21198373955704</c:v>
                </c:pt>
                <c:pt idx="63">
                  <c:v>178.03272884738573</c:v>
                </c:pt>
                <c:pt idx="64">
                  <c:v>187.03535312838613</c:v>
                </c:pt>
                <c:pt idx="65">
                  <c:v>196.21985658255826</c:v>
                </c:pt>
                <c:pt idx="66">
                  <c:v>205.58623920990215</c:v>
                </c:pt>
                <c:pt idx="67">
                  <c:v>215.13450101041772</c:v>
                </c:pt>
                <c:pt idx="68">
                  <c:v>224.86464198410505</c:v>
                </c:pt>
                <c:pt idx="69">
                  <c:v>234.77666213096404</c:v>
                </c:pt>
                <c:pt idx="70">
                  <c:v>244.87056145099481</c:v>
                </c:pt>
                <c:pt idx="71">
                  <c:v>255.14633994419731</c:v>
                </c:pt>
                <c:pt idx="72">
                  <c:v>265.60399761057153</c:v>
                </c:pt>
                <c:pt idx="73">
                  <c:v>276.24353445011747</c:v>
                </c:pt>
                <c:pt idx="74">
                  <c:v>287.06495046283516</c:v>
                </c:pt>
                <c:pt idx="75">
                  <c:v>298.0682456487246</c:v>
                </c:pt>
                <c:pt idx="76">
                  <c:v>309.25342000778568</c:v>
                </c:pt>
                <c:pt idx="77">
                  <c:v>320.62047354001851</c:v>
                </c:pt>
                <c:pt idx="78">
                  <c:v>332.16940624542309</c:v>
                </c:pt>
                <c:pt idx="79">
                  <c:v>343.90021812399942</c:v>
                </c:pt>
                <c:pt idx="80">
                  <c:v>355.81290917574745</c:v>
                </c:pt>
                <c:pt idx="81">
                  <c:v>367.90747940066723</c:v>
                </c:pt>
                <c:pt idx="82">
                  <c:v>380.18392879875876</c:v>
                </c:pt>
                <c:pt idx="83">
                  <c:v>392.64225737002187</c:v>
                </c:pt>
                <c:pt idx="84">
                  <c:v>405.28246511445701</c:v>
                </c:pt>
                <c:pt idx="85">
                  <c:v>418.10455203206351</c:v>
                </c:pt>
                <c:pt idx="86">
                  <c:v>431.1085181228421</c:v>
                </c:pt>
                <c:pt idx="87">
                  <c:v>444.2943633867921</c:v>
                </c:pt>
                <c:pt idx="88">
                  <c:v>457.66208782391385</c:v>
                </c:pt>
                <c:pt idx="89">
                  <c:v>471.21169143420758</c:v>
                </c:pt>
                <c:pt idx="90">
                  <c:v>484.94317421767278</c:v>
                </c:pt>
                <c:pt idx="91">
                  <c:v>498.85653617430995</c:v>
                </c:pt>
                <c:pt idx="92">
                  <c:v>512.95177730411865</c:v>
                </c:pt>
                <c:pt idx="93">
                  <c:v>527.22889760709927</c:v>
                </c:pt>
                <c:pt idx="94">
                  <c:v>541.68789708325141</c:v>
                </c:pt>
                <c:pt idx="95">
                  <c:v>556.32877573257554</c:v>
                </c:pt>
                <c:pt idx="96">
                  <c:v>571.15153355507107</c:v>
                </c:pt>
                <c:pt idx="97">
                  <c:v>586.15617055073824</c:v>
                </c:pt>
                <c:pt idx="98">
                  <c:v>601.34268671957761</c:v>
                </c:pt>
                <c:pt idx="99">
                  <c:v>616.71108206158851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-922.59772145908391</c:v>
                </c:pt>
                <c:pt idx="1">
                  <c:v>-896.78615387427533</c:v>
                </c:pt>
                <c:pt idx="2">
                  <c:v>-870.97458628946663</c:v>
                </c:pt>
                <c:pt idx="3">
                  <c:v>-845.16301870465804</c:v>
                </c:pt>
                <c:pt idx="4">
                  <c:v>-819.35145111984934</c:v>
                </c:pt>
                <c:pt idx="5">
                  <c:v>-793.53988353504064</c:v>
                </c:pt>
                <c:pt idx="6">
                  <c:v>-767.72831595023206</c:v>
                </c:pt>
                <c:pt idx="7">
                  <c:v>-741.91674836542336</c:v>
                </c:pt>
                <c:pt idx="8">
                  <c:v>-716.10518078061477</c:v>
                </c:pt>
                <c:pt idx="9">
                  <c:v>-690.29361319580607</c:v>
                </c:pt>
                <c:pt idx="10">
                  <c:v>-664.48204561099737</c:v>
                </c:pt>
                <c:pt idx="11">
                  <c:v>-638.67047802618879</c:v>
                </c:pt>
                <c:pt idx="12">
                  <c:v>-612.85891044138009</c:v>
                </c:pt>
                <c:pt idx="13">
                  <c:v>-587.04734285657139</c:v>
                </c:pt>
                <c:pt idx="14">
                  <c:v>-561.2357752717628</c:v>
                </c:pt>
                <c:pt idx="15">
                  <c:v>-535.42420768695422</c:v>
                </c:pt>
                <c:pt idx="16">
                  <c:v>-509.61264010214552</c:v>
                </c:pt>
                <c:pt idx="17">
                  <c:v>-483.80107251733682</c:v>
                </c:pt>
                <c:pt idx="18">
                  <c:v>-457.98950493252818</c:v>
                </c:pt>
                <c:pt idx="19">
                  <c:v>-432.17793734771953</c:v>
                </c:pt>
                <c:pt idx="20">
                  <c:v>-406.36636976291089</c:v>
                </c:pt>
                <c:pt idx="21">
                  <c:v>-380.55480217810219</c:v>
                </c:pt>
                <c:pt idx="22">
                  <c:v>-354.74323459329361</c:v>
                </c:pt>
                <c:pt idx="23">
                  <c:v>-328.93166700848496</c:v>
                </c:pt>
                <c:pt idx="24">
                  <c:v>-303.12009942367627</c:v>
                </c:pt>
                <c:pt idx="25">
                  <c:v>-277.30853183886757</c:v>
                </c:pt>
                <c:pt idx="26">
                  <c:v>-251.49696425405889</c:v>
                </c:pt>
                <c:pt idx="27">
                  <c:v>-225.68539666925034</c:v>
                </c:pt>
                <c:pt idx="28">
                  <c:v>-199.87382908444164</c:v>
                </c:pt>
                <c:pt idx="29">
                  <c:v>-174.06226149963297</c:v>
                </c:pt>
                <c:pt idx="30">
                  <c:v>-148.25069391482441</c:v>
                </c:pt>
                <c:pt idx="31">
                  <c:v>-122.43912633001571</c:v>
                </c:pt>
                <c:pt idx="32">
                  <c:v>-96.627558745207025</c:v>
                </c:pt>
                <c:pt idx="33">
                  <c:v>-70.815991160398355</c:v>
                </c:pt>
                <c:pt idx="34">
                  <c:v>-45.004423575589669</c:v>
                </c:pt>
                <c:pt idx="35">
                  <c:v>-19.192855990781098</c:v>
                </c:pt>
                <c:pt idx="36">
                  <c:v>6.6187115940275838</c:v>
                </c:pt>
                <c:pt idx="37">
                  <c:v>32.430279178836265</c:v>
                </c:pt>
                <c:pt idx="38">
                  <c:v>58.24184676364483</c:v>
                </c:pt>
                <c:pt idx="39">
                  <c:v>84.053414348453515</c:v>
                </c:pt>
                <c:pt idx="40">
                  <c:v>109.8649819332622</c:v>
                </c:pt>
                <c:pt idx="41">
                  <c:v>135.67654951807089</c:v>
                </c:pt>
                <c:pt idx="42">
                  <c:v>161.48811710287956</c:v>
                </c:pt>
                <c:pt idx="43">
                  <c:v>187.29968468768826</c:v>
                </c:pt>
                <c:pt idx="44">
                  <c:v>213.1112522724967</c:v>
                </c:pt>
                <c:pt idx="45">
                  <c:v>238.92281985730537</c:v>
                </c:pt>
                <c:pt idx="46">
                  <c:v>264.73438744211404</c:v>
                </c:pt>
                <c:pt idx="47">
                  <c:v>290.54595502692274</c:v>
                </c:pt>
                <c:pt idx="48">
                  <c:v>316.35752261173144</c:v>
                </c:pt>
                <c:pt idx="49">
                  <c:v>342.16909019654014</c:v>
                </c:pt>
                <c:pt idx="50">
                  <c:v>367.98065778134878</c:v>
                </c:pt>
                <c:pt idx="51">
                  <c:v>393.79222536615748</c:v>
                </c:pt>
                <c:pt idx="52">
                  <c:v>419.60379295096618</c:v>
                </c:pt>
                <c:pt idx="53">
                  <c:v>445.4153605357746</c:v>
                </c:pt>
                <c:pt idx="54">
                  <c:v>471.2269281205833</c:v>
                </c:pt>
                <c:pt idx="55">
                  <c:v>497.03849570539199</c:v>
                </c:pt>
                <c:pt idx="56">
                  <c:v>522.85006329020064</c:v>
                </c:pt>
                <c:pt idx="57">
                  <c:v>548.66163087500934</c:v>
                </c:pt>
                <c:pt idx="58">
                  <c:v>574.47319845981804</c:v>
                </c:pt>
                <c:pt idx="59">
                  <c:v>600.28476604462674</c:v>
                </c:pt>
                <c:pt idx="60">
                  <c:v>626.09633362943521</c:v>
                </c:pt>
                <c:pt idx="61">
                  <c:v>651.90790121424379</c:v>
                </c:pt>
                <c:pt idx="62">
                  <c:v>677.71946879905249</c:v>
                </c:pt>
                <c:pt idx="63">
                  <c:v>703.53103638386119</c:v>
                </c:pt>
                <c:pt idx="64">
                  <c:v>729.34260396866989</c:v>
                </c:pt>
                <c:pt idx="65">
                  <c:v>755.15417155347859</c:v>
                </c:pt>
                <c:pt idx="66">
                  <c:v>780.96573913828729</c:v>
                </c:pt>
                <c:pt idx="67">
                  <c:v>806.77730672309599</c:v>
                </c:pt>
                <c:pt idx="68">
                  <c:v>832.58887430790458</c:v>
                </c:pt>
                <c:pt idx="69">
                  <c:v>858.40044189271305</c:v>
                </c:pt>
                <c:pt idx="70">
                  <c:v>884.21200947752175</c:v>
                </c:pt>
                <c:pt idx="71">
                  <c:v>910.02357706233045</c:v>
                </c:pt>
                <c:pt idx="72">
                  <c:v>935.83514464713915</c:v>
                </c:pt>
                <c:pt idx="73">
                  <c:v>961.64671223194784</c:v>
                </c:pt>
                <c:pt idx="74">
                  <c:v>987.45827981675654</c:v>
                </c:pt>
                <c:pt idx="75">
                  <c:v>1013.2698474015651</c:v>
                </c:pt>
                <c:pt idx="76">
                  <c:v>1039.0814149863736</c:v>
                </c:pt>
                <c:pt idx="77">
                  <c:v>1064.8929825711823</c:v>
                </c:pt>
                <c:pt idx="78">
                  <c:v>1090.704550155991</c:v>
                </c:pt>
                <c:pt idx="79">
                  <c:v>1116.5161177407997</c:v>
                </c:pt>
                <c:pt idx="80">
                  <c:v>1142.3276853256084</c:v>
                </c:pt>
                <c:pt idx="81">
                  <c:v>1168.1392529104171</c:v>
                </c:pt>
                <c:pt idx="82">
                  <c:v>1193.9508204952258</c:v>
                </c:pt>
                <c:pt idx="83">
                  <c:v>1219.7623880800343</c:v>
                </c:pt>
                <c:pt idx="84">
                  <c:v>1245.5739556648432</c:v>
                </c:pt>
                <c:pt idx="85">
                  <c:v>1271.3855232496514</c:v>
                </c:pt>
                <c:pt idx="86">
                  <c:v>1297.1970908344604</c:v>
                </c:pt>
                <c:pt idx="87">
                  <c:v>1323.0086584192688</c:v>
                </c:pt>
                <c:pt idx="88">
                  <c:v>1348.8202260040773</c:v>
                </c:pt>
                <c:pt idx="89">
                  <c:v>1374.6317935888862</c:v>
                </c:pt>
                <c:pt idx="90">
                  <c:v>1400.4433611736947</c:v>
                </c:pt>
                <c:pt idx="91">
                  <c:v>1426.2549287585036</c:v>
                </c:pt>
                <c:pt idx="92">
                  <c:v>1452.0664963433121</c:v>
                </c:pt>
                <c:pt idx="93">
                  <c:v>1477.878063928121</c:v>
                </c:pt>
                <c:pt idx="94">
                  <c:v>1503.6896315129295</c:v>
                </c:pt>
                <c:pt idx="95">
                  <c:v>1529.5011990977384</c:v>
                </c:pt>
                <c:pt idx="96">
                  <c:v>1555.3127666825469</c:v>
                </c:pt>
                <c:pt idx="97">
                  <c:v>1581.1243342673554</c:v>
                </c:pt>
                <c:pt idx="98">
                  <c:v>1606.9359018521641</c:v>
                </c:pt>
                <c:pt idx="99">
                  <c:v>1632.7474694369728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905.88780483322182</c:v>
                </c:pt>
                <c:pt idx="1">
                  <c:v>905.88780483322182</c:v>
                </c:pt>
                <c:pt idx="2">
                  <c:v>905.8898620002816</c:v>
                </c:pt>
                <c:pt idx="3">
                  <c:v>905.92684889059308</c:v>
                </c:pt>
                <c:pt idx="4">
                  <c:v>906.01018962617763</c:v>
                </c:pt>
                <c:pt idx="5">
                  <c:v>906.13988420703527</c:v>
                </c:pt>
                <c:pt idx="6">
                  <c:v>906.3159326331662</c:v>
                </c:pt>
                <c:pt idx="7">
                  <c:v>906.53833490457021</c:v>
                </c:pt>
                <c:pt idx="8">
                  <c:v>906.80709102124752</c:v>
                </c:pt>
                <c:pt idx="9">
                  <c:v>907.1222009831979</c:v>
                </c:pt>
                <c:pt idx="10">
                  <c:v>907.48366479042136</c:v>
                </c:pt>
                <c:pt idx="11">
                  <c:v>907.89148244291812</c:v>
                </c:pt>
                <c:pt idx="12">
                  <c:v>908.34565394068795</c:v>
                </c:pt>
                <c:pt idx="13">
                  <c:v>908.84617928373109</c:v>
                </c:pt>
                <c:pt idx="14">
                  <c:v>909.39305847204719</c:v>
                </c:pt>
                <c:pt idx="15">
                  <c:v>909.98629150563659</c:v>
                </c:pt>
                <c:pt idx="16">
                  <c:v>910.62587838449895</c:v>
                </c:pt>
                <c:pt idx="17">
                  <c:v>911.31181910863472</c:v>
                </c:pt>
                <c:pt idx="18">
                  <c:v>912.04411367804346</c:v>
                </c:pt>
                <c:pt idx="19">
                  <c:v>912.8227620927255</c:v>
                </c:pt>
                <c:pt idx="20">
                  <c:v>913.64776435268061</c:v>
                </c:pt>
                <c:pt idx="21">
                  <c:v>914.51912045790891</c:v>
                </c:pt>
                <c:pt idx="22">
                  <c:v>915.4368304084104</c:v>
                </c:pt>
                <c:pt idx="23">
                  <c:v>916.40089420418508</c:v>
                </c:pt>
                <c:pt idx="24">
                  <c:v>917.41131184523283</c:v>
                </c:pt>
                <c:pt idx="25">
                  <c:v>918.46808333155388</c:v>
                </c:pt>
                <c:pt idx="26">
                  <c:v>919.57120866314801</c:v>
                </c:pt>
                <c:pt idx="27">
                  <c:v>920.72068784001533</c:v>
                </c:pt>
                <c:pt idx="28">
                  <c:v>921.91652086215572</c:v>
                </c:pt>
                <c:pt idx="29">
                  <c:v>923.1587077295693</c:v>
                </c:pt>
                <c:pt idx="30">
                  <c:v>924.44724844225595</c:v>
                </c:pt>
                <c:pt idx="31">
                  <c:v>925.78214300021602</c:v>
                </c:pt>
                <c:pt idx="32">
                  <c:v>927.16339140344905</c:v>
                </c:pt>
                <c:pt idx="33">
                  <c:v>928.59785742177587</c:v>
                </c:pt>
                <c:pt idx="34">
                  <c:v>930.14611301405603</c:v>
                </c:pt>
                <c:pt idx="35">
                  <c:v>931.82236585123883</c:v>
                </c:pt>
                <c:pt idx="36">
                  <c:v>933.62661593332462</c:v>
                </c:pt>
                <c:pt idx="37">
                  <c:v>935.55886326031293</c:v>
                </c:pt>
                <c:pt idx="38">
                  <c:v>937.61910783220401</c:v>
                </c:pt>
                <c:pt idx="39">
                  <c:v>939.80734964899773</c:v>
                </c:pt>
                <c:pt idx="40">
                  <c:v>942.12358871069432</c:v>
                </c:pt>
                <c:pt idx="41">
                  <c:v>944.56782501729356</c:v>
                </c:pt>
                <c:pt idx="42">
                  <c:v>947.14005856879555</c:v>
                </c:pt>
                <c:pt idx="43">
                  <c:v>949.84028936520019</c:v>
                </c:pt>
                <c:pt idx="44">
                  <c:v>952.66851740650759</c:v>
                </c:pt>
                <c:pt idx="45">
                  <c:v>955.62474269271786</c:v>
                </c:pt>
                <c:pt idx="46">
                  <c:v>958.70896522383066</c:v>
                </c:pt>
                <c:pt idx="47">
                  <c:v>961.92118499984622</c:v>
                </c:pt>
                <c:pt idx="48">
                  <c:v>965.26140202076454</c:v>
                </c:pt>
                <c:pt idx="49">
                  <c:v>968.72961628658561</c:v>
                </c:pt>
                <c:pt idx="50">
                  <c:v>972.32582779730933</c:v>
                </c:pt>
                <c:pt idx="51">
                  <c:v>976.05003655293581</c:v>
                </c:pt>
                <c:pt idx="52">
                  <c:v>979.90224255346504</c:v>
                </c:pt>
                <c:pt idx="53">
                  <c:v>983.88244579889692</c:v>
                </c:pt>
                <c:pt idx="54">
                  <c:v>987.99064628923156</c:v>
                </c:pt>
                <c:pt idx="55">
                  <c:v>992.22684402446907</c:v>
                </c:pt>
                <c:pt idx="56">
                  <c:v>996.59103900460912</c:v>
                </c:pt>
                <c:pt idx="57">
                  <c:v>1001.0832312296519</c:v>
                </c:pt>
                <c:pt idx="58">
                  <c:v>1005.7034206995975</c:v>
                </c:pt>
                <c:pt idx="59">
                  <c:v>1010.4516074144457</c:v>
                </c:pt>
                <c:pt idx="60">
                  <c:v>1015.3277913741967</c:v>
                </c:pt>
                <c:pt idx="61">
                  <c:v>1020.3319725788505</c:v>
                </c:pt>
                <c:pt idx="62">
                  <c:v>1025.4641510284068</c:v>
                </c:pt>
                <c:pt idx="63">
                  <c:v>1030.724326722866</c:v>
                </c:pt>
                <c:pt idx="64">
                  <c:v>1036.1124996622279</c:v>
                </c:pt>
                <c:pt idx="65">
                  <c:v>1041.6286698464926</c:v>
                </c:pt>
                <c:pt idx="66">
                  <c:v>1047.2728372756599</c:v>
                </c:pt>
                <c:pt idx="67">
                  <c:v>1053.0450019497298</c:v>
                </c:pt>
                <c:pt idx="68">
                  <c:v>1058.9451638687028</c:v>
                </c:pt>
                <c:pt idx="69">
                  <c:v>1064.9733230325783</c:v>
                </c:pt>
                <c:pt idx="70">
                  <c:v>1071.1294794413564</c:v>
                </c:pt>
                <c:pt idx="71">
                  <c:v>1077.4136330950373</c:v>
                </c:pt>
                <c:pt idx="72">
                  <c:v>1083.8257839936211</c:v>
                </c:pt>
                <c:pt idx="73">
                  <c:v>1090.3659321371074</c:v>
                </c:pt>
                <c:pt idx="74">
                  <c:v>1097.0340775254965</c:v>
                </c:pt>
                <c:pt idx="75">
                  <c:v>1103.8302201587883</c:v>
                </c:pt>
                <c:pt idx="76">
                  <c:v>1110.7543600369829</c:v>
                </c:pt>
                <c:pt idx="77">
                  <c:v>1117.8064971600802</c:v>
                </c:pt>
                <c:pt idx="78">
                  <c:v>1124.9866315280801</c:v>
                </c:pt>
                <c:pt idx="79">
                  <c:v>1132.2947631409829</c:v>
                </c:pt>
                <c:pt idx="80">
                  <c:v>1139.7308919987884</c:v>
                </c:pt>
                <c:pt idx="81">
                  <c:v>1147.2950181014967</c:v>
                </c:pt>
                <c:pt idx="82">
                  <c:v>1154.9871414491076</c:v>
                </c:pt>
                <c:pt idx="83">
                  <c:v>1162.8072620416212</c:v>
                </c:pt>
                <c:pt idx="84">
                  <c:v>1170.7553798790375</c:v>
                </c:pt>
                <c:pt idx="85">
                  <c:v>1178.8314949613566</c:v>
                </c:pt>
                <c:pt idx="86">
                  <c:v>1187.0356072885786</c:v>
                </c:pt>
                <c:pt idx="87">
                  <c:v>1195.3677168607028</c:v>
                </c:pt>
                <c:pt idx="88">
                  <c:v>1203.8278236777301</c:v>
                </c:pt>
                <c:pt idx="89">
                  <c:v>1212.41592773966</c:v>
                </c:pt>
                <c:pt idx="90">
                  <c:v>1221.1320290464926</c:v>
                </c:pt>
                <c:pt idx="91">
                  <c:v>1229.9761275982282</c:v>
                </c:pt>
                <c:pt idx="92">
                  <c:v>1238.9482233948663</c:v>
                </c:pt>
                <c:pt idx="93">
                  <c:v>1248.048316436407</c:v>
                </c:pt>
                <c:pt idx="94">
                  <c:v>1257.2764067228507</c:v>
                </c:pt>
                <c:pt idx="95">
                  <c:v>1266.6324942541969</c:v>
                </c:pt>
                <c:pt idx="96">
                  <c:v>1276.116579030446</c:v>
                </c:pt>
                <c:pt idx="97">
                  <c:v>1285.7286610515978</c:v>
                </c:pt>
                <c:pt idx="98">
                  <c:v>1295.4687403176522</c:v>
                </c:pt>
                <c:pt idx="99">
                  <c:v>1305.3368168286095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-59.416005440501245</c:v>
                </c:pt>
                <c:pt idx="1">
                  <c:v>-59.416005440501245</c:v>
                </c:pt>
                <c:pt idx="2">
                  <c:v>-59.410513057827991</c:v>
                </c:pt>
                <c:pt idx="3">
                  <c:v>-59.321420842589454</c:v>
                </c:pt>
                <c:pt idx="4">
                  <c:v>-59.123344381040766</c:v>
                </c:pt>
                <c:pt idx="5">
                  <c:v>-58.81628367318195</c:v>
                </c:pt>
                <c:pt idx="6">
                  <c:v>-58.400238719012989</c:v>
                </c:pt>
                <c:pt idx="7">
                  <c:v>-57.875209518533886</c:v>
                </c:pt>
                <c:pt idx="8">
                  <c:v>-57.241196071744646</c:v>
                </c:pt>
                <c:pt idx="9">
                  <c:v>-56.498198378645263</c:v>
                </c:pt>
                <c:pt idx="10">
                  <c:v>-55.646216439235751</c:v>
                </c:pt>
                <c:pt idx="11">
                  <c:v>-54.685250253516081</c:v>
                </c:pt>
                <c:pt idx="12">
                  <c:v>-53.615299821486282</c:v>
                </c:pt>
                <c:pt idx="13">
                  <c:v>-52.436365143146332</c:v>
                </c:pt>
                <c:pt idx="14">
                  <c:v>-51.148446218496247</c:v>
                </c:pt>
                <c:pt idx="15">
                  <c:v>-49.751543047536011</c:v>
                </c:pt>
                <c:pt idx="16">
                  <c:v>-48.245655630265645</c:v>
                </c:pt>
                <c:pt idx="17">
                  <c:v>-46.630783966685136</c:v>
                </c:pt>
                <c:pt idx="18">
                  <c:v>-44.906928056794492</c:v>
                </c:pt>
                <c:pt idx="19">
                  <c:v>-43.074087900593703</c:v>
                </c:pt>
                <c:pt idx="20">
                  <c:v>-41.132263498082771</c:v>
                </c:pt>
                <c:pt idx="21">
                  <c:v>-39.081454849261696</c:v>
                </c:pt>
                <c:pt idx="22">
                  <c:v>-36.921661954130485</c:v>
                </c:pt>
                <c:pt idx="23">
                  <c:v>-34.65288481268913</c:v>
                </c:pt>
                <c:pt idx="24">
                  <c:v>-32.27512342493764</c:v>
                </c:pt>
                <c:pt idx="25">
                  <c:v>-29.788377790875998</c:v>
                </c:pt>
                <c:pt idx="26">
                  <c:v>-27.19264791050422</c:v>
                </c:pt>
                <c:pt idx="27">
                  <c:v>-24.487933783822321</c:v>
                </c:pt>
                <c:pt idx="28">
                  <c:v>-21.674235410830256</c:v>
                </c:pt>
                <c:pt idx="29">
                  <c:v>-18.751552791528056</c:v>
                </c:pt>
                <c:pt idx="30">
                  <c:v>-15.719885925915728</c:v>
                </c:pt>
                <c:pt idx="31">
                  <c:v>-12.579234813993244</c:v>
                </c:pt>
                <c:pt idx="32">
                  <c:v>-9.3295994557606203</c:v>
                </c:pt>
                <c:pt idx="33">
                  <c:v>-5.945508353099914</c:v>
                </c:pt>
                <c:pt idx="34">
                  <c:v>-2.3804397588814319</c:v>
                </c:pt>
                <c:pt idx="35">
                  <c:v>1.3665939703659857</c:v>
                </c:pt>
                <c:pt idx="36">
                  <c:v>5.2955928346423722</c:v>
                </c:pt>
                <c:pt idx="37">
                  <c:v>9.406556833947711</c:v>
                </c:pt>
                <c:pt idx="38">
                  <c:v>13.699485968281982</c:v>
                </c:pt>
                <c:pt idx="39">
                  <c:v>18.174380237645224</c:v>
                </c:pt>
                <c:pt idx="40">
                  <c:v>22.831239642037421</c:v>
                </c:pt>
                <c:pt idx="41">
                  <c:v>27.670064181458571</c:v>
                </c:pt>
                <c:pt idx="42">
                  <c:v>32.690853855908664</c:v>
                </c:pt>
                <c:pt idx="43">
                  <c:v>37.893608665387717</c:v>
                </c:pt>
                <c:pt idx="44">
                  <c:v>43.278328609895667</c:v>
                </c:pt>
                <c:pt idx="45">
                  <c:v>48.845013689432626</c:v>
                </c:pt>
                <c:pt idx="46">
                  <c:v>54.593663903998525</c:v>
                </c:pt>
                <c:pt idx="47">
                  <c:v>60.524279253593392</c:v>
                </c:pt>
                <c:pt idx="48">
                  <c:v>66.636859738217211</c:v>
                </c:pt>
                <c:pt idx="49">
                  <c:v>72.931405357869977</c:v>
                </c:pt>
                <c:pt idx="50">
                  <c:v>79.407916112551689</c:v>
                </c:pt>
                <c:pt idx="51">
                  <c:v>86.066392002262347</c:v>
                </c:pt>
                <c:pt idx="52">
                  <c:v>92.90683302700198</c:v>
                </c:pt>
                <c:pt idx="53">
                  <c:v>99.929239186770488</c:v>
                </c:pt>
                <c:pt idx="54">
                  <c:v>107.13361048156801</c:v>
                </c:pt>
                <c:pt idx="55">
                  <c:v>114.51994691139448</c:v>
                </c:pt>
                <c:pt idx="56">
                  <c:v>122.08824847624993</c:v>
                </c:pt>
                <c:pt idx="57">
                  <c:v>129.83851517613428</c:v>
                </c:pt>
                <c:pt idx="58">
                  <c:v>137.7707470110476</c:v>
                </c:pt>
                <c:pt idx="59">
                  <c:v>145.8849439809899</c:v>
                </c:pt>
                <c:pt idx="60">
                  <c:v>154.18110608596106</c:v>
                </c:pt>
                <c:pt idx="61">
                  <c:v>162.65923332596125</c:v>
                </c:pt>
                <c:pt idx="62">
                  <c:v>171.31932570099039</c:v>
                </c:pt>
                <c:pt idx="63">
                  <c:v>180.1613832110485</c:v>
                </c:pt>
                <c:pt idx="64">
                  <c:v>189.18540585613556</c:v>
                </c:pt>
                <c:pt idx="65">
                  <c:v>198.39139363625151</c:v>
                </c:pt>
                <c:pt idx="66">
                  <c:v>207.77934655139649</c:v>
                </c:pt>
                <c:pt idx="67">
                  <c:v>217.34926460157038</c:v>
                </c:pt>
                <c:pt idx="68">
                  <c:v>227.10114778677325</c:v>
                </c:pt>
                <c:pt idx="69">
                  <c:v>237.03499610700496</c:v>
                </c:pt>
                <c:pt idx="70">
                  <c:v>247.15080956226572</c:v>
                </c:pt>
                <c:pt idx="71">
                  <c:v>257.44858815255543</c:v>
                </c:pt>
                <c:pt idx="72">
                  <c:v>267.92833187787414</c:v>
                </c:pt>
                <c:pt idx="73">
                  <c:v>278.59004073822172</c:v>
                </c:pt>
                <c:pt idx="74">
                  <c:v>289.43371473359826</c:v>
                </c:pt>
                <c:pt idx="75">
                  <c:v>300.45935386400384</c:v>
                </c:pt>
                <c:pt idx="76">
                  <c:v>311.66695812943817</c:v>
                </c:pt>
                <c:pt idx="77">
                  <c:v>323.05652752990164</c:v>
                </c:pt>
                <c:pt idx="78">
                  <c:v>334.62806206539398</c:v>
                </c:pt>
                <c:pt idx="79">
                  <c:v>346.3815617359154</c:v>
                </c:pt>
                <c:pt idx="80">
                  <c:v>358.31702654146551</c:v>
                </c:pt>
                <c:pt idx="81">
                  <c:v>370.43445648204494</c:v>
                </c:pt>
                <c:pt idx="82">
                  <c:v>382.73385155765288</c:v>
                </c:pt>
                <c:pt idx="83">
                  <c:v>395.21521176828998</c:v>
                </c:pt>
                <c:pt idx="84">
                  <c:v>407.87853711395616</c:v>
                </c:pt>
                <c:pt idx="85">
                  <c:v>420.72382759465114</c:v>
                </c:pt>
                <c:pt idx="86">
                  <c:v>433.75108321037521</c:v>
                </c:pt>
                <c:pt idx="87">
                  <c:v>446.96030396112803</c:v>
                </c:pt>
                <c:pt idx="88">
                  <c:v>460.35148984690977</c:v>
                </c:pt>
                <c:pt idx="89">
                  <c:v>473.92464086772071</c:v>
                </c:pt>
                <c:pt idx="90">
                  <c:v>487.67975702356046</c:v>
                </c:pt>
                <c:pt idx="91">
                  <c:v>501.61683831442929</c:v>
                </c:pt>
                <c:pt idx="92">
                  <c:v>515.73588474032692</c:v>
                </c:pt>
                <c:pt idx="93">
                  <c:v>530.03689630125371</c:v>
                </c:pt>
                <c:pt idx="94">
                  <c:v>544.51987299720918</c:v>
                </c:pt>
                <c:pt idx="95">
                  <c:v>559.18481482819391</c:v>
                </c:pt>
                <c:pt idx="96">
                  <c:v>574.03172179420721</c:v>
                </c:pt>
                <c:pt idx="97">
                  <c:v>589.06059389524955</c:v>
                </c:pt>
                <c:pt idx="98">
                  <c:v>604.27143113132104</c:v>
                </c:pt>
                <c:pt idx="99">
                  <c:v>619.66423350242144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-907.73286886640528</c:v>
                </c:pt>
                <c:pt idx="1">
                  <c:v>-882.04204716416371</c:v>
                </c:pt>
                <c:pt idx="2">
                  <c:v>-856.35122546192213</c:v>
                </c:pt>
                <c:pt idx="3">
                  <c:v>-830.66040375968043</c:v>
                </c:pt>
                <c:pt idx="4">
                  <c:v>-804.96958205743874</c:v>
                </c:pt>
                <c:pt idx="5">
                  <c:v>-779.27876035519716</c:v>
                </c:pt>
                <c:pt idx="6">
                  <c:v>-753.58793865295547</c:v>
                </c:pt>
                <c:pt idx="7">
                  <c:v>-727.89711695071389</c:v>
                </c:pt>
                <c:pt idx="8">
                  <c:v>-702.2062952484722</c:v>
                </c:pt>
                <c:pt idx="9">
                  <c:v>-676.51547354623062</c:v>
                </c:pt>
                <c:pt idx="10">
                  <c:v>-650.82465184398905</c:v>
                </c:pt>
                <c:pt idx="11">
                  <c:v>-625.13383014174735</c:v>
                </c:pt>
                <c:pt idx="12">
                  <c:v>-599.44300843950566</c:v>
                </c:pt>
                <c:pt idx="13">
                  <c:v>-573.75218673726408</c:v>
                </c:pt>
                <c:pt idx="14">
                  <c:v>-548.06136503502239</c:v>
                </c:pt>
                <c:pt idx="15">
                  <c:v>-522.37054333278081</c:v>
                </c:pt>
                <c:pt idx="16">
                  <c:v>-496.67972163053918</c:v>
                </c:pt>
                <c:pt idx="17">
                  <c:v>-470.98889992829749</c:v>
                </c:pt>
                <c:pt idx="18">
                  <c:v>-445.29807822605591</c:v>
                </c:pt>
                <c:pt idx="19">
                  <c:v>-419.60725652381427</c:v>
                </c:pt>
                <c:pt idx="20">
                  <c:v>-393.91643482157264</c:v>
                </c:pt>
                <c:pt idx="21">
                  <c:v>-368.22561311933094</c:v>
                </c:pt>
                <c:pt idx="22">
                  <c:v>-342.53479141708942</c:v>
                </c:pt>
                <c:pt idx="23">
                  <c:v>-316.84396971484773</c:v>
                </c:pt>
                <c:pt idx="24">
                  <c:v>-291.1531480126061</c:v>
                </c:pt>
                <c:pt idx="25">
                  <c:v>-265.4623263103644</c:v>
                </c:pt>
                <c:pt idx="26">
                  <c:v>-239.77150460812274</c:v>
                </c:pt>
                <c:pt idx="27">
                  <c:v>-214.08068290588119</c:v>
                </c:pt>
                <c:pt idx="28">
                  <c:v>-188.38986120363953</c:v>
                </c:pt>
                <c:pt idx="29">
                  <c:v>-162.69903950139786</c:v>
                </c:pt>
                <c:pt idx="30">
                  <c:v>-137.00821779915631</c:v>
                </c:pt>
                <c:pt idx="31">
                  <c:v>-111.31739609691466</c:v>
                </c:pt>
                <c:pt idx="32">
                  <c:v>-85.626574394672986</c:v>
                </c:pt>
                <c:pt idx="33">
                  <c:v>-59.935752692431329</c:v>
                </c:pt>
                <c:pt idx="34">
                  <c:v>-34.244930990189665</c:v>
                </c:pt>
                <c:pt idx="35">
                  <c:v>-8.5541092879481155</c:v>
                </c:pt>
                <c:pt idx="36">
                  <c:v>17.136712414293552</c:v>
                </c:pt>
                <c:pt idx="37">
                  <c:v>42.827534116535212</c:v>
                </c:pt>
                <c:pt idx="38">
                  <c:v>68.518355818776769</c:v>
                </c:pt>
                <c:pt idx="39">
                  <c:v>94.209177521018432</c:v>
                </c:pt>
                <c:pt idx="40">
                  <c:v>119.8999992232601</c:v>
                </c:pt>
                <c:pt idx="41">
                  <c:v>145.59082092550176</c:v>
                </c:pt>
                <c:pt idx="42">
                  <c:v>171.28164262774342</c:v>
                </c:pt>
                <c:pt idx="43">
                  <c:v>196.97246432998509</c:v>
                </c:pt>
                <c:pt idx="44">
                  <c:v>222.66328603222652</c:v>
                </c:pt>
                <c:pt idx="45">
                  <c:v>248.35410773446819</c:v>
                </c:pt>
                <c:pt idx="46">
                  <c:v>274.04492943670982</c:v>
                </c:pt>
                <c:pt idx="47">
                  <c:v>299.73575113895151</c:v>
                </c:pt>
                <c:pt idx="48">
                  <c:v>325.42657284119321</c:v>
                </c:pt>
                <c:pt idx="49">
                  <c:v>351.11739454343484</c:v>
                </c:pt>
                <c:pt idx="50">
                  <c:v>376.80821624567653</c:v>
                </c:pt>
                <c:pt idx="51">
                  <c:v>402.49903794791817</c:v>
                </c:pt>
                <c:pt idx="52">
                  <c:v>428.18985965015986</c:v>
                </c:pt>
                <c:pt idx="53">
                  <c:v>453.88068135240127</c:v>
                </c:pt>
                <c:pt idx="54">
                  <c:v>479.57150305464296</c:v>
                </c:pt>
                <c:pt idx="55">
                  <c:v>505.2623247568846</c:v>
                </c:pt>
                <c:pt idx="56">
                  <c:v>530.95314645912629</c:v>
                </c:pt>
                <c:pt idx="57">
                  <c:v>556.64396816136798</c:v>
                </c:pt>
                <c:pt idx="58">
                  <c:v>582.33478986360956</c:v>
                </c:pt>
                <c:pt idx="59">
                  <c:v>608.02561156585125</c:v>
                </c:pt>
                <c:pt idx="60">
                  <c:v>633.71643326809271</c:v>
                </c:pt>
                <c:pt idx="61">
                  <c:v>659.40725497033441</c:v>
                </c:pt>
                <c:pt idx="62">
                  <c:v>685.09807667257598</c:v>
                </c:pt>
                <c:pt idx="63">
                  <c:v>710.78889837481768</c:v>
                </c:pt>
                <c:pt idx="64">
                  <c:v>736.47972007705937</c:v>
                </c:pt>
                <c:pt idx="65">
                  <c:v>762.17054177930106</c:v>
                </c:pt>
                <c:pt idx="66">
                  <c:v>787.86136348154264</c:v>
                </c:pt>
                <c:pt idx="67">
                  <c:v>813.55218518378433</c:v>
                </c:pt>
                <c:pt idx="68">
                  <c:v>839.24300688602602</c:v>
                </c:pt>
                <c:pt idx="69">
                  <c:v>864.93382858826749</c:v>
                </c:pt>
                <c:pt idx="70">
                  <c:v>890.62465029050907</c:v>
                </c:pt>
                <c:pt idx="71">
                  <c:v>916.31547199275076</c:v>
                </c:pt>
                <c:pt idx="72">
                  <c:v>942.00629369499245</c:v>
                </c:pt>
                <c:pt idx="73">
                  <c:v>967.69711539723414</c:v>
                </c:pt>
                <c:pt idx="74">
                  <c:v>993.38793709947572</c:v>
                </c:pt>
                <c:pt idx="75">
                  <c:v>1019.0787588017174</c:v>
                </c:pt>
                <c:pt idx="76">
                  <c:v>1044.7695805039589</c:v>
                </c:pt>
                <c:pt idx="77">
                  <c:v>1070.4604022062006</c:v>
                </c:pt>
                <c:pt idx="78">
                  <c:v>1096.151223908442</c:v>
                </c:pt>
                <c:pt idx="79">
                  <c:v>1121.842045610684</c:v>
                </c:pt>
                <c:pt idx="80">
                  <c:v>1147.5328673129254</c:v>
                </c:pt>
                <c:pt idx="81">
                  <c:v>1173.2236890151673</c:v>
                </c:pt>
                <c:pt idx="82">
                  <c:v>1198.9145107174088</c:v>
                </c:pt>
                <c:pt idx="83">
                  <c:v>1224.6053324196503</c:v>
                </c:pt>
                <c:pt idx="84">
                  <c:v>1250.296154121892</c:v>
                </c:pt>
                <c:pt idx="85">
                  <c:v>1275.9869758241334</c:v>
                </c:pt>
                <c:pt idx="86">
                  <c:v>1301.6777975263753</c:v>
                </c:pt>
                <c:pt idx="87">
                  <c:v>1327.3686192286168</c:v>
                </c:pt>
                <c:pt idx="88">
                  <c:v>1353.0594409308583</c:v>
                </c:pt>
                <c:pt idx="89">
                  <c:v>1378.7502626331002</c:v>
                </c:pt>
                <c:pt idx="90">
                  <c:v>1404.4410843353417</c:v>
                </c:pt>
                <c:pt idx="91">
                  <c:v>1430.1319060375836</c:v>
                </c:pt>
                <c:pt idx="92">
                  <c:v>1455.8227277398248</c:v>
                </c:pt>
                <c:pt idx="93">
                  <c:v>1481.5135494420667</c:v>
                </c:pt>
                <c:pt idx="94">
                  <c:v>1507.2043711443082</c:v>
                </c:pt>
                <c:pt idx="95">
                  <c:v>1532.8951928465501</c:v>
                </c:pt>
                <c:pt idx="96">
                  <c:v>1558.5860145487916</c:v>
                </c:pt>
                <c:pt idx="97">
                  <c:v>1584.276836251033</c:v>
                </c:pt>
                <c:pt idx="98">
                  <c:v>1609.967657953275</c:v>
                </c:pt>
                <c:pt idx="99">
                  <c:v>1635.6584796555164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906.79971346907462</c:v>
                </c:pt>
                <c:pt idx="1">
                  <c:v>906.79971346907462</c:v>
                </c:pt>
                <c:pt idx="2">
                  <c:v>906.80201322644598</c:v>
                </c:pt>
                <c:pt idx="3">
                  <c:v>906.83931770628965</c:v>
                </c:pt>
                <c:pt idx="4">
                  <c:v>906.92225580977674</c:v>
                </c:pt>
                <c:pt idx="5">
                  <c:v>907.05082753690726</c:v>
                </c:pt>
                <c:pt idx="6">
                  <c:v>907.22503288768121</c:v>
                </c:pt>
                <c:pt idx="7">
                  <c:v>907.44487186209858</c:v>
                </c:pt>
                <c:pt idx="8">
                  <c:v>907.71034446015926</c:v>
                </c:pt>
                <c:pt idx="9">
                  <c:v>908.02145068186348</c:v>
                </c:pt>
                <c:pt idx="10">
                  <c:v>908.37819052721113</c:v>
                </c:pt>
                <c:pt idx="11">
                  <c:v>908.7805639962022</c:v>
                </c:pt>
                <c:pt idx="12">
                  <c:v>909.22857108883659</c:v>
                </c:pt>
                <c:pt idx="13">
                  <c:v>909.72221180511451</c:v>
                </c:pt>
                <c:pt idx="14">
                  <c:v>910.26148614503586</c:v>
                </c:pt>
                <c:pt idx="15">
                  <c:v>910.84639410860052</c:v>
                </c:pt>
                <c:pt idx="16">
                  <c:v>911.47693569580872</c:v>
                </c:pt>
                <c:pt idx="17">
                  <c:v>912.15311090666034</c:v>
                </c:pt>
                <c:pt idx="18">
                  <c:v>912.87491974115528</c:v>
                </c:pt>
                <c:pt idx="19">
                  <c:v>913.64236219929364</c:v>
                </c:pt>
                <c:pt idx="20">
                  <c:v>914.45543828107554</c:v>
                </c:pt>
                <c:pt idx="21">
                  <c:v>915.31414798650076</c:v>
                </c:pt>
                <c:pt idx="22">
                  <c:v>916.21849131556951</c:v>
                </c:pt>
                <c:pt idx="23">
                  <c:v>917.16846826828157</c:v>
                </c:pt>
                <c:pt idx="24">
                  <c:v>918.16407884463706</c:v>
                </c:pt>
                <c:pt idx="25">
                  <c:v>919.20532304463609</c:v>
                </c:pt>
                <c:pt idx="26">
                  <c:v>920.29220086827843</c:v>
                </c:pt>
                <c:pt idx="27">
                  <c:v>921.42471231556419</c:v>
                </c:pt>
                <c:pt idx="28">
                  <c:v>922.60285738649338</c:v>
                </c:pt>
                <c:pt idx="29">
                  <c:v>923.826636081066</c:v>
                </c:pt>
                <c:pt idx="30">
                  <c:v>925.09604839928204</c:v>
                </c:pt>
                <c:pt idx="31">
                  <c:v>926.41109434114151</c:v>
                </c:pt>
                <c:pt idx="32">
                  <c:v>927.7717739066444</c:v>
                </c:pt>
                <c:pt idx="33">
                  <c:v>929.20661312714253</c:v>
                </c:pt>
                <c:pt idx="34">
                  <c:v>930.76771262157172</c:v>
                </c:pt>
                <c:pt idx="35">
                  <c:v>932.45617847126618</c:v>
                </c:pt>
                <c:pt idx="36">
                  <c:v>934.27201067622593</c:v>
                </c:pt>
                <c:pt idx="37">
                  <c:v>936.21520923645096</c:v>
                </c:pt>
                <c:pt idx="38">
                  <c:v>938.28577415194115</c:v>
                </c:pt>
                <c:pt idx="39">
                  <c:v>940.48370542269663</c:v>
                </c:pt>
                <c:pt idx="40">
                  <c:v>942.80900304871739</c:v>
                </c:pt>
                <c:pt idx="41">
                  <c:v>945.26166703000342</c:v>
                </c:pt>
                <c:pt idx="42">
                  <c:v>947.84169736655474</c:v>
                </c:pt>
                <c:pt idx="43">
                  <c:v>950.54909405837122</c:v>
                </c:pt>
                <c:pt idx="44">
                  <c:v>953.38385710545299</c:v>
                </c:pt>
                <c:pt idx="45">
                  <c:v>956.34598650780003</c:v>
                </c:pt>
                <c:pt idx="46">
                  <c:v>959.43548226541247</c:v>
                </c:pt>
                <c:pt idx="47">
                  <c:v>962.65234437828997</c:v>
                </c:pt>
                <c:pt idx="48">
                  <c:v>965.99657284643297</c:v>
                </c:pt>
                <c:pt idx="49">
                  <c:v>969.46816766984102</c:v>
                </c:pt>
                <c:pt idx="50">
                  <c:v>973.06712884851424</c:v>
                </c:pt>
                <c:pt idx="51">
                  <c:v>976.79345638245297</c:v>
                </c:pt>
                <c:pt idx="52">
                  <c:v>980.64715027165676</c:v>
                </c:pt>
                <c:pt idx="53">
                  <c:v>984.62821051612593</c:v>
                </c:pt>
                <c:pt idx="54">
                  <c:v>988.73663711586039</c:v>
                </c:pt>
                <c:pt idx="55">
                  <c:v>992.97243007086001</c:v>
                </c:pt>
                <c:pt idx="56">
                  <c:v>997.33558938112492</c:v>
                </c:pt>
                <c:pt idx="57">
                  <c:v>1001.8261150466551</c:v>
                </c:pt>
                <c:pt idx="58">
                  <c:v>1006.4440070674506</c:v>
                </c:pt>
                <c:pt idx="59">
                  <c:v>1011.1892654435112</c:v>
                </c:pt>
                <c:pt idx="60">
                  <c:v>1016.0618901748371</c:v>
                </c:pt>
                <c:pt idx="61">
                  <c:v>1021.0618812614283</c:v>
                </c:pt>
                <c:pt idx="62">
                  <c:v>1026.1892387032849</c:v>
                </c:pt>
                <c:pt idx="63">
                  <c:v>1031.4439625004065</c:v>
                </c:pt>
                <c:pt idx="64">
                  <c:v>1036.8260526527936</c:v>
                </c:pt>
                <c:pt idx="65">
                  <c:v>1042.3355091604458</c:v>
                </c:pt>
                <c:pt idx="66">
                  <c:v>1047.9723320233634</c:v>
                </c:pt>
                <c:pt idx="67">
                  <c:v>1053.7365212415461</c:v>
                </c:pt>
                <c:pt idx="68">
                  <c:v>1059.6280768149943</c:v>
                </c:pt>
                <c:pt idx="69">
                  <c:v>1065.6469987437074</c:v>
                </c:pt>
                <c:pt idx="70">
                  <c:v>1071.7932870276859</c:v>
                </c:pt>
                <c:pt idx="71">
                  <c:v>1078.0669416669298</c:v>
                </c:pt>
                <c:pt idx="72">
                  <c:v>1084.4679626614388</c:v>
                </c:pt>
                <c:pt idx="73">
                  <c:v>1090.9963500112133</c:v>
                </c:pt>
                <c:pt idx="74">
                  <c:v>1097.6521037162529</c:v>
                </c:pt>
                <c:pt idx="75">
                  <c:v>1104.4352237765575</c:v>
                </c:pt>
                <c:pt idx="76">
                  <c:v>1111.3457101921276</c:v>
                </c:pt>
                <c:pt idx="77">
                  <c:v>1118.383562962963</c:v>
                </c:pt>
                <c:pt idx="78">
                  <c:v>1125.5487820890637</c:v>
                </c:pt>
                <c:pt idx="79">
                  <c:v>1132.8413675704296</c:v>
                </c:pt>
                <c:pt idx="80">
                  <c:v>1140.2613194070607</c:v>
                </c:pt>
                <c:pt idx="81">
                  <c:v>1147.8086375989571</c:v>
                </c:pt>
                <c:pt idx="82">
                  <c:v>1155.4833221461186</c:v>
                </c:pt>
                <c:pt idx="83">
                  <c:v>1163.2853730485456</c:v>
                </c:pt>
                <c:pt idx="84">
                  <c:v>1171.2147903062378</c:v>
                </c:pt>
                <c:pt idx="85">
                  <c:v>1179.2715739191951</c:v>
                </c:pt>
                <c:pt idx="86">
                  <c:v>1187.4557238874179</c:v>
                </c:pt>
                <c:pt idx="87">
                  <c:v>1195.7672402109058</c:v>
                </c:pt>
                <c:pt idx="88">
                  <c:v>1204.2061228896591</c:v>
                </c:pt>
                <c:pt idx="89">
                  <c:v>1212.7723719236776</c:v>
                </c:pt>
                <c:pt idx="90">
                  <c:v>1221.4659873129613</c:v>
                </c:pt>
                <c:pt idx="91">
                  <c:v>1230.2869690575103</c:v>
                </c:pt>
                <c:pt idx="92">
                  <c:v>1239.2353171573245</c:v>
                </c:pt>
                <c:pt idx="93">
                  <c:v>1248.3110316124041</c:v>
                </c:pt>
                <c:pt idx="94">
                  <c:v>1257.5141124227489</c:v>
                </c:pt>
                <c:pt idx="95">
                  <c:v>1266.8445595883591</c:v>
                </c:pt>
                <c:pt idx="96">
                  <c:v>1276.3023731092342</c:v>
                </c:pt>
                <c:pt idx="97">
                  <c:v>1285.8875529853749</c:v>
                </c:pt>
                <c:pt idx="98">
                  <c:v>1295.6000992167806</c:v>
                </c:pt>
                <c:pt idx="99">
                  <c:v>1305.4400118034514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</xdr:row>
          <xdr:rowOff>152400</xdr:rowOff>
        </xdr:from>
        <xdr:to>
          <xdr:col>15</xdr:col>
          <xdr:colOff>333375</xdr:colOff>
          <xdr:row>6</xdr:row>
          <xdr:rowOff>57150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de-DE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2</xdr:row>
      <xdr:rowOff>156432</xdr:rowOff>
    </xdr:from>
    <xdr:to>
      <xdr:col>5</xdr:col>
      <xdr:colOff>491932</xdr:colOff>
      <xdr:row>23</xdr:row>
      <xdr:rowOff>53419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F5DA865-6091-E95C-7029-DB56A33B45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8130" y="473107"/>
          <a:ext cx="4369300" cy="34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81"/>
  <sheetViews>
    <sheetView showGridLines="0" topLeftCell="E1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0</v>
      </c>
      <c r="B11" s="37" t="s">
        <v>30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">
        <v>102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">
        <v>104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">
        <v>103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30°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80" t="s">
        <v>326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A.1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A.1.1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A.1.2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A.1.3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0.87601845454410032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1963.4954084936205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A.2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-1099.0367219299899</v>
      </c>
      <c r="P66" s="71">
        <v>-1072.10568515314</v>
      </c>
      <c r="Q66" s="71">
        <v>-1045.17464837629</v>
      </c>
      <c r="R66" s="71">
        <v>-1018.24361159944</v>
      </c>
      <c r="S66" s="71">
        <v>-991.31257482259002</v>
      </c>
      <c r="T66" s="71">
        <v>-964.38153804573994</v>
      </c>
      <c r="U66" s="71">
        <v>-937.45050126888998</v>
      </c>
      <c r="V66" s="71">
        <v>-910.51946449204013</v>
      </c>
      <c r="W66" s="71">
        <v>-883.58842771519005</v>
      </c>
      <c r="X66" s="71">
        <v>-856.65739093834009</v>
      </c>
      <c r="Y66" s="71">
        <v>-829.72635416149012</v>
      </c>
      <c r="Z66" s="71">
        <v>-802.79531738464016</v>
      </c>
      <c r="AA66" s="71">
        <v>-775.86428060779008</v>
      </c>
      <c r="AB66" s="71">
        <v>-748.93324383094011</v>
      </c>
      <c r="AC66" s="71">
        <v>-722.00220705409026</v>
      </c>
      <c r="AD66" s="71">
        <v>-695.07117027724018</v>
      </c>
      <c r="AE66" s="71">
        <v>-668.14013350039022</v>
      </c>
      <c r="AF66" s="71">
        <v>-641.20909672354026</v>
      </c>
      <c r="AG66" s="71">
        <v>-614.27805994669018</v>
      </c>
      <c r="AH66" s="71">
        <v>-587.34702316984021</v>
      </c>
      <c r="AI66" s="71">
        <v>-560.41598639299025</v>
      </c>
      <c r="AJ66" s="71">
        <v>-533.48494961614017</v>
      </c>
      <c r="AK66" s="71">
        <v>-506.55391283929021</v>
      </c>
      <c r="AL66" s="71">
        <v>-479.62287606244024</v>
      </c>
      <c r="AM66" s="71">
        <v>-452.69183928559022</v>
      </c>
      <c r="AN66" s="71">
        <v>-425.7608025087402</v>
      </c>
      <c r="AO66" s="71">
        <v>-398.82976573189023</v>
      </c>
      <c r="AP66" s="71">
        <v>-371.89872895504033</v>
      </c>
      <c r="AQ66" s="71">
        <v>-344.96769217819036</v>
      </c>
      <c r="AR66" s="71">
        <v>-318.03665540134034</v>
      </c>
      <c r="AS66" s="71">
        <v>-291.10561862449032</v>
      </c>
      <c r="AT66" s="71">
        <v>-264.17458184764035</v>
      </c>
      <c r="AU66" s="71">
        <v>-237.24354507079033</v>
      </c>
      <c r="AV66" s="71">
        <v>-210.31250829394034</v>
      </c>
      <c r="AW66" s="71">
        <v>-183.38147151709035</v>
      </c>
      <c r="AX66" s="71">
        <v>-156.45043474024033</v>
      </c>
      <c r="AY66" s="71">
        <v>-129.51939796339033</v>
      </c>
      <c r="AZ66" s="71">
        <v>-102.58836118654034</v>
      </c>
      <c r="BA66" s="71">
        <v>-75.657324409690446</v>
      </c>
      <c r="BB66" s="71">
        <v>-48.726287632840453</v>
      </c>
      <c r="BC66" s="71">
        <v>-21.795250855990453</v>
      </c>
      <c r="BD66" s="71">
        <v>5.1357859208595471</v>
      </c>
      <c r="BE66" s="71">
        <v>32.066822697709547</v>
      </c>
      <c r="BF66" s="71">
        <v>58.997859474559547</v>
      </c>
      <c r="BG66" s="71">
        <v>85.928896251409554</v>
      </c>
      <c r="BH66" s="71">
        <v>112.85993302825955</v>
      </c>
      <c r="BI66" s="71">
        <v>139.79096980510954</v>
      </c>
      <c r="BJ66" s="71">
        <v>166.72200658195953</v>
      </c>
      <c r="BK66" s="71">
        <v>193.65304335880955</v>
      </c>
      <c r="BL66" s="71">
        <v>220.58408013565955</v>
      </c>
      <c r="BM66" s="71">
        <v>247.51511691250954</v>
      </c>
      <c r="BN66" s="71">
        <v>274.44615368935956</v>
      </c>
      <c r="BO66" s="71">
        <v>301.37719046620953</v>
      </c>
      <c r="BP66" s="71">
        <v>328.30822724305955</v>
      </c>
      <c r="BQ66" s="71">
        <v>355.23926401990934</v>
      </c>
      <c r="BR66" s="71">
        <v>382.17030079675931</v>
      </c>
      <c r="BS66" s="71">
        <v>409.10133757360933</v>
      </c>
      <c r="BT66" s="71">
        <v>436.03237435045929</v>
      </c>
      <c r="BU66" s="71">
        <v>462.96341112730931</v>
      </c>
      <c r="BV66" s="71">
        <v>489.89444790415934</v>
      </c>
      <c r="BW66" s="71">
        <v>516.82548468100936</v>
      </c>
      <c r="BX66" s="71">
        <v>543.75652145785932</v>
      </c>
      <c r="BY66" s="71">
        <v>570.68755823470929</v>
      </c>
      <c r="BZ66" s="71">
        <v>597.61859501155936</v>
      </c>
      <c r="CA66" s="71">
        <v>624.54963178840933</v>
      </c>
      <c r="CB66" s="71">
        <v>651.48066856525929</v>
      </c>
      <c r="CC66" s="71">
        <v>678.41170534210937</v>
      </c>
      <c r="CD66" s="71">
        <v>705.34274211895934</v>
      </c>
      <c r="CE66" s="71">
        <v>732.2737788958093</v>
      </c>
      <c r="CF66" s="71">
        <v>759.20481567265927</v>
      </c>
      <c r="CG66" s="71">
        <v>786.13585244950934</v>
      </c>
      <c r="CH66" s="71">
        <v>813.06688922635931</v>
      </c>
      <c r="CI66" s="71">
        <v>839.99792600320927</v>
      </c>
      <c r="CJ66" s="71">
        <v>866.92896278005935</v>
      </c>
      <c r="CK66" s="71">
        <v>893.85999955690932</v>
      </c>
      <c r="CL66" s="71">
        <v>920.79103633375905</v>
      </c>
      <c r="CM66" s="71">
        <v>947.72207311060913</v>
      </c>
      <c r="CN66" s="71">
        <v>974.6531098874591</v>
      </c>
      <c r="CO66" s="71">
        <v>1001.5841466643091</v>
      </c>
      <c r="CP66" s="71">
        <v>1028.515183441159</v>
      </c>
      <c r="CQ66" s="71">
        <v>1055.4462202180091</v>
      </c>
      <c r="CR66" s="71">
        <v>1082.3772569948592</v>
      </c>
      <c r="CS66" s="71">
        <v>1109.308293771709</v>
      </c>
      <c r="CT66" s="71">
        <v>1136.2393305485591</v>
      </c>
      <c r="CU66" s="71">
        <v>1163.1703673254092</v>
      </c>
      <c r="CV66" s="71">
        <v>1190.101404102259</v>
      </c>
      <c r="CW66" s="71">
        <v>1217.0324408791091</v>
      </c>
      <c r="CX66" s="71">
        <v>1243.9634776559592</v>
      </c>
      <c r="CY66" s="71">
        <v>1270.894514432809</v>
      </c>
      <c r="CZ66" s="71">
        <v>1297.8255512096591</v>
      </c>
      <c r="DA66" s="71">
        <v>1324.756587986509</v>
      </c>
      <c r="DB66" s="71">
        <v>1351.6876247633591</v>
      </c>
      <c r="DC66" s="71">
        <v>1378.6186615402091</v>
      </c>
      <c r="DD66" s="71">
        <v>1405.549698317059</v>
      </c>
      <c r="DE66" s="71">
        <v>1432.4807350939091</v>
      </c>
      <c r="DF66" s="71">
        <v>1459.4117718707591</v>
      </c>
      <c r="DG66" s="71">
        <v>1486.342808647609</v>
      </c>
      <c r="DH66" s="71">
        <v>1513.2738454244591</v>
      </c>
      <c r="DI66" s="71">
        <v>1540.2048822013091</v>
      </c>
      <c r="DJ66" s="71">
        <v>1567.1359189781592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894.03546159069651</v>
      </c>
      <c r="P67" s="71">
        <v>894.03546159069651</v>
      </c>
      <c r="Q67" s="71">
        <v>894.03554658168889</v>
      </c>
      <c r="R67" s="71">
        <v>894.06498110744815</v>
      </c>
      <c r="S67" s="71">
        <v>894.14728885447664</v>
      </c>
      <c r="T67" s="71">
        <v>894.28246982277449</v>
      </c>
      <c r="U67" s="71">
        <v>894.47052401234191</v>
      </c>
      <c r="V67" s="71">
        <v>894.71145142317846</v>
      </c>
      <c r="W67" s="71">
        <v>895.00525205528447</v>
      </c>
      <c r="X67" s="71">
        <v>895.35192590865984</v>
      </c>
      <c r="Y67" s="71">
        <v>895.75147298330455</v>
      </c>
      <c r="Z67" s="71">
        <v>896.20389327921873</v>
      </c>
      <c r="AA67" s="71">
        <v>896.70918679640204</v>
      </c>
      <c r="AB67" s="71">
        <v>897.26735353485492</v>
      </c>
      <c r="AC67" s="71">
        <v>897.87839349457715</v>
      </c>
      <c r="AD67" s="71">
        <v>898.54230667556885</v>
      </c>
      <c r="AE67" s="71">
        <v>899.25909307782968</v>
      </c>
      <c r="AF67" s="71">
        <v>900.02875270136008</v>
      </c>
      <c r="AG67" s="71">
        <v>900.85128554615972</v>
      </c>
      <c r="AH67" s="71">
        <v>901.72669161222871</v>
      </c>
      <c r="AI67" s="71">
        <v>902.65497089956716</v>
      </c>
      <c r="AJ67" s="71">
        <v>903.63612340817497</v>
      </c>
      <c r="AK67" s="71">
        <v>904.67014913805201</v>
      </c>
      <c r="AL67" s="71">
        <v>905.75704808919852</v>
      </c>
      <c r="AM67" s="71">
        <v>906.89682026161438</v>
      </c>
      <c r="AN67" s="71">
        <v>908.0894656552997</v>
      </c>
      <c r="AO67" s="71">
        <v>909.33498427025427</v>
      </c>
      <c r="AP67" s="71">
        <v>910.63337610647829</v>
      </c>
      <c r="AQ67" s="71">
        <v>911.98464116397167</v>
      </c>
      <c r="AR67" s="71">
        <v>913.38877944273429</v>
      </c>
      <c r="AS67" s="71">
        <v>914.84579094276637</v>
      </c>
      <c r="AT67" s="71">
        <v>916.3556756640678</v>
      </c>
      <c r="AU67" s="71">
        <v>917.91843360663859</v>
      </c>
      <c r="AV67" s="71">
        <v>919.53406477047872</v>
      </c>
      <c r="AW67" s="71">
        <v>921.20256915558832</v>
      </c>
      <c r="AX67" s="71">
        <v>922.92394676196727</v>
      </c>
      <c r="AY67" s="71">
        <v>924.69819758961546</v>
      </c>
      <c r="AZ67" s="71">
        <v>926.52532163853311</v>
      </c>
      <c r="BA67" s="71">
        <v>928.40727520041389</v>
      </c>
      <c r="BB67" s="71">
        <v>930.40151830936895</v>
      </c>
      <c r="BC67" s="71">
        <v>932.53468271994791</v>
      </c>
      <c r="BD67" s="71">
        <v>934.80676843215088</v>
      </c>
      <c r="BE67" s="71">
        <v>937.21777544597762</v>
      </c>
      <c r="BF67" s="71">
        <v>939.76770376142838</v>
      </c>
      <c r="BG67" s="71">
        <v>942.45655337850292</v>
      </c>
      <c r="BH67" s="71">
        <v>945.28432429720147</v>
      </c>
      <c r="BI67" s="71">
        <v>948.25101651752402</v>
      </c>
      <c r="BJ67" s="71">
        <v>951.35663003947036</v>
      </c>
      <c r="BK67" s="71">
        <v>954.60116486304082</v>
      </c>
      <c r="BL67" s="71">
        <v>957.98462098823495</v>
      </c>
      <c r="BM67" s="71">
        <v>961.5069984150532</v>
      </c>
      <c r="BN67" s="71">
        <v>965.16829714349524</v>
      </c>
      <c r="BO67" s="71">
        <v>968.96851717356128</v>
      </c>
      <c r="BP67" s="71">
        <v>972.90765850525133</v>
      </c>
      <c r="BQ67" s="71">
        <v>976.98572113856505</v>
      </c>
      <c r="BR67" s="71">
        <v>981.2027050735029</v>
      </c>
      <c r="BS67" s="71">
        <v>985.55861031006452</v>
      </c>
      <c r="BT67" s="71">
        <v>990.05343684825027</v>
      </c>
      <c r="BU67" s="71">
        <v>994.68718468805969</v>
      </c>
      <c r="BV67" s="71">
        <v>999.45985382949311</v>
      </c>
      <c r="BW67" s="71">
        <v>1004.3714442725507</v>
      </c>
      <c r="BX67" s="71">
        <v>1009.4219560172319</v>
      </c>
      <c r="BY67" s="71">
        <v>1014.6113890635371</v>
      </c>
      <c r="BZ67" s="71">
        <v>1019.9397434114662</v>
      </c>
      <c r="CA67" s="71">
        <v>1025.4070190610194</v>
      </c>
      <c r="CB67" s="71">
        <v>1031.0132160121964</v>
      </c>
      <c r="CC67" s="71">
        <v>1036.7583342649973</v>
      </c>
      <c r="CD67" s="71">
        <v>1042.6423738194221</v>
      </c>
      <c r="CE67" s="71">
        <v>1048.6653346754708</v>
      </c>
      <c r="CF67" s="71">
        <v>1054.8272168331434</v>
      </c>
      <c r="CG67" s="71">
        <v>1061.1280202924402</v>
      </c>
      <c r="CH67" s="71">
        <v>1067.5677450533608</v>
      </c>
      <c r="CI67" s="71">
        <v>1074.1463911159053</v>
      </c>
      <c r="CJ67" s="71">
        <v>1080.8639584800735</v>
      </c>
      <c r="CK67" s="71">
        <v>1087.7204471458658</v>
      </c>
      <c r="CL67" s="71">
        <v>1094.715857113282</v>
      </c>
      <c r="CM67" s="71">
        <v>1101.8501883823221</v>
      </c>
      <c r="CN67" s="71">
        <v>1109.1234409529864</v>
      </c>
      <c r="CO67" s="71">
        <v>1116.535614825274</v>
      </c>
      <c r="CP67" s="71">
        <v>1124.086709999186</v>
      </c>
      <c r="CQ67" s="71">
        <v>1131.776726474722</v>
      </c>
      <c r="CR67" s="71">
        <v>1139.6056642518818</v>
      </c>
      <c r="CS67" s="71">
        <v>1147.5735233306652</v>
      </c>
      <c r="CT67" s="71">
        <v>1155.6803037110728</v>
      </c>
      <c r="CU67" s="71">
        <v>1163.9260053931043</v>
      </c>
      <c r="CV67" s="71">
        <v>1172.3106283767597</v>
      </c>
      <c r="CW67" s="71">
        <v>1180.834172662039</v>
      </c>
      <c r="CX67" s="71">
        <v>1189.4966382489424</v>
      </c>
      <c r="CY67" s="71">
        <v>1198.2980251374697</v>
      </c>
      <c r="CZ67" s="71">
        <v>1207.2383333276207</v>
      </c>
      <c r="DA67" s="71">
        <v>1216.3175628193958</v>
      </c>
      <c r="DB67" s="71">
        <v>1225.5357136127946</v>
      </c>
      <c r="DC67" s="71">
        <v>1234.8927857078177</v>
      </c>
      <c r="DD67" s="71">
        <v>1244.3887791044644</v>
      </c>
      <c r="DE67" s="71">
        <v>1254.0236938027351</v>
      </c>
      <c r="DF67" s="71">
        <v>1263.7975298026297</v>
      </c>
      <c r="DG67" s="71">
        <v>1273.7102871041484</v>
      </c>
      <c r="DH67" s="71">
        <v>1283.761965707291</v>
      </c>
      <c r="DI67" s="71">
        <v>1293.9525656120572</v>
      </c>
      <c r="DJ67" s="71">
        <v>1304.2820868184476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-81.950196903899112</v>
      </c>
      <c r="P68" s="71">
        <v>-81.950196903899112</v>
      </c>
      <c r="Q68" s="71">
        <v>-81.950016537295596</v>
      </c>
      <c r="R68" s="71">
        <v>-81.88755103021613</v>
      </c>
      <c r="S68" s="71">
        <v>-81.71287876959363</v>
      </c>
      <c r="T68" s="71">
        <v>-81.42599975542808</v>
      </c>
      <c r="U68" s="71">
        <v>-81.02691398771951</v>
      </c>
      <c r="V68" s="71">
        <v>-80.515621466467891</v>
      </c>
      <c r="W68" s="71">
        <v>-79.892122191673238</v>
      </c>
      <c r="X68" s="71">
        <v>-79.156416163335535</v>
      </c>
      <c r="Y68" s="71">
        <v>-78.308503381454813</v>
      </c>
      <c r="Z68" s="71">
        <v>-77.348383846031027</v>
      </c>
      <c r="AA68" s="71">
        <v>-76.276057557064206</v>
      </c>
      <c r="AB68" s="71">
        <v>-75.091524514554365</v>
      </c>
      <c r="AC68" s="71">
        <v>-73.794784718501475</v>
      </c>
      <c r="AD68" s="71">
        <v>-72.385838168905551</v>
      </c>
      <c r="AE68" s="71">
        <v>-70.864684865766577</v>
      </c>
      <c r="AF68" s="71">
        <v>-69.231324809084569</v>
      </c>
      <c r="AG68" s="71">
        <v>-67.485757998859526</v>
      </c>
      <c r="AH68" s="71">
        <v>-65.627984435091435</v>
      </c>
      <c r="AI68" s="71">
        <v>-63.658004117780322</v>
      </c>
      <c r="AJ68" s="71">
        <v>-61.575817046926161</v>
      </c>
      <c r="AK68" s="71">
        <v>-59.381423222528952</v>
      </c>
      <c r="AL68" s="71">
        <v>-57.074822644588721</v>
      </c>
      <c r="AM68" s="71">
        <v>-54.656015313105442</v>
      </c>
      <c r="AN68" s="71">
        <v>-52.125001228079128</v>
      </c>
      <c r="AO68" s="71">
        <v>-49.481780389509773</v>
      </c>
      <c r="AP68" s="71">
        <v>-46.726352797397389</v>
      </c>
      <c r="AQ68" s="71">
        <v>-43.85871845174195</v>
      </c>
      <c r="AR68" s="71">
        <v>-40.878877352543491</v>
      </c>
      <c r="AS68" s="71">
        <v>-37.786829499801975</v>
      </c>
      <c r="AT68" s="71">
        <v>-34.582574893517432</v>
      </c>
      <c r="AU68" s="71">
        <v>-31.26611353368984</v>
      </c>
      <c r="AV68" s="71">
        <v>-27.837445420319206</v>
      </c>
      <c r="AW68" s="71">
        <v>-24.296570553405545</v>
      </c>
      <c r="AX68" s="71">
        <v>-20.643488932948841</v>
      </c>
      <c r="AY68" s="71">
        <v>-16.878200558949096</v>
      </c>
      <c r="AZ68" s="71">
        <v>-13.000705431406319</v>
      </c>
      <c r="BA68" s="71">
        <v>-9.0094818806034027</v>
      </c>
      <c r="BB68" s="71">
        <v>-4.8598355523541397</v>
      </c>
      <c r="BC68" s="71">
        <v>-0.53105136897277205</v>
      </c>
      <c r="BD68" s="71">
        <v>3.9768706695406979</v>
      </c>
      <c r="BE68" s="71">
        <v>8.6639305631862715</v>
      </c>
      <c r="BF68" s="71">
        <v>13.530128311963949</v>
      </c>
      <c r="BG68" s="71">
        <v>18.575463915873726</v>
      </c>
      <c r="BH68" s="71">
        <v>23.799937374915611</v>
      </c>
      <c r="BI68" s="71">
        <v>29.203548689089601</v>
      </c>
      <c r="BJ68" s="71">
        <v>34.786297858395692</v>
      </c>
      <c r="BK68" s="71">
        <v>40.54818488283388</v>
      </c>
      <c r="BL68" s="71">
        <v>46.489209762404172</v>
      </c>
      <c r="BM68" s="71">
        <v>52.609372497106577</v>
      </c>
      <c r="BN68" s="71">
        <v>58.908673086941093</v>
      </c>
      <c r="BO68" s="71">
        <v>65.387111531907692</v>
      </c>
      <c r="BP68" s="71">
        <v>72.044687832006403</v>
      </c>
      <c r="BQ68" s="71">
        <v>78.881401987237155</v>
      </c>
      <c r="BR68" s="71">
        <v>85.897253997600075</v>
      </c>
      <c r="BS68" s="71">
        <v>93.092243863095092</v>
      </c>
      <c r="BT68" s="71">
        <v>100.46637158372221</v>
      </c>
      <c r="BU68" s="71">
        <v>108.01963715948143</v>
      </c>
      <c r="BV68" s="71">
        <v>115.75204059037276</v>
      </c>
      <c r="BW68" s="71">
        <v>123.66358187639618</v>
      </c>
      <c r="BX68" s="71">
        <v>131.75426101755173</v>
      </c>
      <c r="BY68" s="71">
        <v>140.02407801383936</v>
      </c>
      <c r="BZ68" s="71">
        <v>148.47303286525911</v>
      </c>
      <c r="CA68" s="71">
        <v>157.10112557181097</v>
      </c>
      <c r="CB68" s="71">
        <v>165.90835613349492</v>
      </c>
      <c r="CC68" s="71">
        <v>174.89472455031097</v>
      </c>
      <c r="CD68" s="71">
        <v>184.06023082225911</v>
      </c>
      <c r="CE68" s="71">
        <v>193.40487494933936</v>
      </c>
      <c r="CF68" s="71">
        <v>202.92865693155173</v>
      </c>
      <c r="CG68" s="71">
        <v>212.6315767688962</v>
      </c>
      <c r="CH68" s="71">
        <v>222.51363446137279</v>
      </c>
      <c r="CI68" s="71">
        <v>232.57483000898142</v>
      </c>
      <c r="CJ68" s="71">
        <v>242.81516341172224</v>
      </c>
      <c r="CK68" s="71">
        <v>253.2346346695951</v>
      </c>
      <c r="CL68" s="71">
        <v>263.83324378260005</v>
      </c>
      <c r="CM68" s="71">
        <v>274.61099075073707</v>
      </c>
      <c r="CN68" s="71">
        <v>285.56787557400628</v>
      </c>
      <c r="CO68" s="71">
        <v>296.70389825240755</v>
      </c>
      <c r="CP68" s="71">
        <v>308.01905878594096</v>
      </c>
      <c r="CQ68" s="71">
        <v>319.51335717460648</v>
      </c>
      <c r="CR68" s="71">
        <v>331.18679341840408</v>
      </c>
      <c r="CS68" s="71">
        <v>343.03936751733374</v>
      </c>
      <c r="CT68" s="71">
        <v>355.07107947139554</v>
      </c>
      <c r="CU68" s="71">
        <v>367.28192928058951</v>
      </c>
      <c r="CV68" s="71">
        <v>379.67191694491549</v>
      </c>
      <c r="CW68" s="71">
        <v>392.24104246437366</v>
      </c>
      <c r="CX68" s="71">
        <v>404.98930583896379</v>
      </c>
      <c r="CY68" s="71">
        <v>417.91670706868615</v>
      </c>
      <c r="CZ68" s="71">
        <v>431.02324615354058</v>
      </c>
      <c r="DA68" s="71">
        <v>444.30892309352714</v>
      </c>
      <c r="DB68" s="71">
        <v>457.77373788864577</v>
      </c>
      <c r="DC68" s="71">
        <v>471.41769053889647</v>
      </c>
      <c r="DD68" s="71">
        <v>485.2407810442794</v>
      </c>
      <c r="DE68" s="71">
        <v>499.24300940479424</v>
      </c>
      <c r="DF68" s="71">
        <v>513.42437562044131</v>
      </c>
      <c r="DG68" s="71">
        <v>527.78487969122034</v>
      </c>
      <c r="DH68" s="71">
        <v>542.32452161713172</v>
      </c>
      <c r="DI68" s="71">
        <v>557.043301398175</v>
      </c>
      <c r="DJ68" s="71">
        <v>571.94121903435052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A.2.1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1492.5103990268183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127.80055796228295</v>
      </c>
      <c r="K85" s="79">
        <v>946.91300968644339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-1046.7016399333238</v>
      </c>
      <c r="K86" s="79">
        <v>894.03546159069651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A.2.2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934362.75838234334</v>
      </c>
      <c r="J89" s="80">
        <v>8.5962300599344649E-2</v>
      </c>
      <c r="K89" s="80">
        <v>9.5770708915130456E-8</v>
      </c>
      <c r="L89" s="3"/>
      <c r="N89" s="1" t="s">
        <v>322</v>
      </c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933969.7029035564</v>
      </c>
      <c r="J90" s="80">
        <v>7.6304917828166882E-2</v>
      </c>
      <c r="K90" s="80">
        <v>3.6450175922638094E-8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894035.46159069648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A.3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302</v>
      </c>
      <c r="R111" s="137">
        <v>0.45</v>
      </c>
    </row>
    <row r="112" spans="1:18" ht="20.100000000000001" customHeight="1" outlineLevel="1">
      <c r="A112" s="75" t="str">
        <f>$A$94&amp;"."&amp;1</f>
        <v>A.3.1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  <c r="Q112" s="70" t="s">
        <v>303</v>
      </c>
      <c r="R112" s="137">
        <f>R111/2/(J113-J116)</f>
        <v>2.3308776313230069E-4</v>
      </c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-9.8711652315125882</v>
      </c>
      <c r="L113" s="3"/>
      <c r="Q113" s="70" t="s">
        <v>304</v>
      </c>
      <c r="R113" s="1">
        <f>R111-2*R112*J113</f>
        <v>0.4879466878379386</v>
      </c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1492.5103990268183</v>
      </c>
      <c r="K114" s="79">
        <v>531.09884955427549</v>
      </c>
      <c r="L114" s="3"/>
      <c r="Q114" s="70" t="s">
        <v>305</v>
      </c>
      <c r="R114" s="1">
        <f>point1.Ms-R113*J113-R112*J113^2</f>
        <v>28.303264963491515</v>
      </c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127.80055796228295</v>
      </c>
      <c r="K115" s="79">
        <v>26.775594103355857</v>
      </c>
      <c r="L115" s="3"/>
      <c r="Q115" s="1" t="s">
        <v>306</v>
      </c>
      <c r="R115" s="1">
        <f>R114+R113*J116+R112*J116^2</f>
        <v>-227.06403421651046</v>
      </c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-1046.7016399333238</v>
      </c>
      <c r="K116" s="79">
        <v>-81.950196903899112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A.3.2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3.1033801451910996</v>
      </c>
      <c r="J119" s="80">
        <v>1.6944498525709646E-4</v>
      </c>
      <c r="K119" s="80">
        <v>1.2349552717251009E-10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2.7976483255801572</v>
      </c>
      <c r="J120" s="80">
        <v>1.6193314693741727E-4</v>
      </c>
      <c r="K120" s="80">
        <v>7.7354014152367535E-11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-81.950196903899112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A.4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A.4.1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58" t="s">
        <v>261</v>
      </c>
      <c r="C127" s="58"/>
      <c r="D127" s="58"/>
      <c r="E127" s="58"/>
      <c r="F127" s="58"/>
      <c r="G127" s="58"/>
      <c r="H127" s="58"/>
      <c r="I127" s="59" t="s">
        <v>262</v>
      </c>
      <c r="J127" s="127">
        <v>1.4</v>
      </c>
      <c r="K127" s="60" t="s">
        <v>263</v>
      </c>
      <c r="L127" s="3"/>
      <c r="U127" s="99"/>
    </row>
    <row r="128" spans="1:21" ht="20.100000000000001" customHeight="1">
      <c r="A128" s="9" t="s">
        <v>4</v>
      </c>
      <c r="B128" s="8" t="s">
        <v>257</v>
      </c>
      <c r="C128" s="8"/>
      <c r="D128" s="8"/>
      <c r="E128" s="8"/>
      <c r="F128" s="8"/>
      <c r="G128" s="8"/>
      <c r="H128" s="8"/>
      <c r="I128" s="7" t="s">
        <v>258</v>
      </c>
      <c r="J128" s="97">
        <v>0.28773533056547312</v>
      </c>
      <c r="K128" s="5" t="s">
        <v>8</v>
      </c>
      <c r="L128" s="3"/>
      <c r="U128" s="99"/>
    </row>
    <row r="129" spans="1:21" ht="20.100000000000001" customHeight="1">
      <c r="A129" s="9" t="s">
        <v>3</v>
      </c>
      <c r="B129" s="11" t="s">
        <v>259</v>
      </c>
      <c r="C129" s="11"/>
      <c r="D129" s="11"/>
      <c r="E129" s="11"/>
      <c r="F129" s="11"/>
      <c r="G129" s="11"/>
      <c r="H129" s="11"/>
      <c r="I129" s="10" t="s">
        <v>260</v>
      </c>
      <c r="J129" s="67">
        <v>1.2162355202035973</v>
      </c>
      <c r="K129" s="93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A.4.1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11" t="s">
        <v>241</v>
      </c>
      <c r="C132" s="11"/>
      <c r="D132" s="11"/>
      <c r="E132" s="11"/>
      <c r="F132" s="11"/>
      <c r="G132" s="11"/>
      <c r="H132" s="11"/>
      <c r="I132" s="10" t="s">
        <v>242</v>
      </c>
      <c r="J132" s="97">
        <v>1.8</v>
      </c>
      <c r="K132" s="93" t="s">
        <v>86</v>
      </c>
      <c r="L132" s="3"/>
      <c r="U132" s="99"/>
    </row>
    <row r="133" spans="1:21" ht="20.100000000000001" customHeight="1">
      <c r="A133" s="9" t="s">
        <v>4</v>
      </c>
      <c r="B133" s="17" t="s">
        <v>243</v>
      </c>
      <c r="C133" s="17"/>
      <c r="D133" s="17"/>
      <c r="E133" s="17"/>
      <c r="F133" s="17"/>
      <c r="G133" s="17"/>
      <c r="H133" s="17"/>
      <c r="I133" s="16" t="s">
        <v>244</v>
      </c>
      <c r="J133" s="149">
        <v>5347.6060878876842</v>
      </c>
      <c r="K133" s="1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11" t="s">
        <v>245</v>
      </c>
      <c r="C136" s="11"/>
      <c r="D136" s="11"/>
      <c r="E136" s="11"/>
      <c r="F136" s="11"/>
      <c r="G136" s="11"/>
      <c r="H136" s="11"/>
      <c r="I136" s="10" t="s">
        <v>246</v>
      </c>
      <c r="J136" s="149">
        <v>260.95900755068658</v>
      </c>
      <c r="K136" s="93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12338.843209964416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A.4.2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121291.36748708198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1.1017289479507151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A.4.3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1690.9346121377064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329</v>
      </c>
      <c r="C148" s="8"/>
      <c r="D148" s="8"/>
      <c r="E148" s="8"/>
      <c r="F148" s="8"/>
      <c r="G148" s="8"/>
      <c r="H148" s="8"/>
      <c r="I148" s="81" t="s">
        <v>83</v>
      </c>
      <c r="J148" s="62">
        <v>-629.06538786229351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-336.23625207103021</v>
      </c>
      <c r="K149" s="5" t="s">
        <v>9</v>
      </c>
      <c r="L149" s="3"/>
    </row>
    <row r="150" spans="1:21" ht="20.100000000000001" customHeight="1">
      <c r="A150" s="9" t="s">
        <v>32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-965.30163993332371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A.4.4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9.0406114929450651E-2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A.4.5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/>
      <c r="O158" s="133"/>
      <c r="P158" s="133"/>
      <c r="Q158" s="133"/>
      <c r="R158" s="133"/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A.4.6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29.999999999999996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7.0370829187961406E-2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0.14933991343341183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231.89764113978492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0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-34.427858400076637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-9.8711652315125882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4.525596055677236E-3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-34.38556373373747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-9.8568319542062817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3.665386801929241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28:K28"/>
    <mergeCell ref="A3:K3"/>
    <mergeCell ref="B4:G4"/>
    <mergeCell ref="B5:G5"/>
    <mergeCell ref="B6:G6"/>
    <mergeCell ref="B7:G7"/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D17:K17"/>
    <mergeCell ref="B15:C15"/>
    <mergeCell ref="D15:K15"/>
    <mergeCell ref="B13:C13"/>
  </mergeCells>
  <conditionalFormatting sqref="K64">
    <cfRule type="cellIs" dxfId="27" priority="5" stopIfTrue="1" operator="between">
      <formula>0</formula>
      <formula>1</formula>
    </cfRule>
  </conditionalFormatting>
  <conditionalFormatting sqref="K94">
    <cfRule type="cellIs" dxfId="26" priority="2" stopIfTrue="1" operator="between">
      <formula>0</formula>
      <formula>1</formula>
    </cfRule>
  </conditionalFormatting>
  <conditionalFormatting sqref="K124">
    <cfRule type="cellIs" dxfId="2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294</v>
      </c>
      <c r="B11" s="37" t="s">
        <v>290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60°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B.1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B.1.1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B.1.2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B.1.3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1.6338216149415536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3926.990816987241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B.2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-964.50294412273126</v>
      </c>
      <c r="P66" s="71">
        <v>-938.42205611225586</v>
      </c>
      <c r="Q66" s="71">
        <v>-912.34116810178068</v>
      </c>
      <c r="R66" s="71">
        <v>-886.26028009130539</v>
      </c>
      <c r="S66" s="71">
        <v>-860.17939208083021</v>
      </c>
      <c r="T66" s="71">
        <v>-834.09850407035481</v>
      </c>
      <c r="U66" s="71">
        <v>-808.01761605987951</v>
      </c>
      <c r="V66" s="71">
        <v>-781.93672804940434</v>
      </c>
      <c r="W66" s="71">
        <v>-755.85584003892905</v>
      </c>
      <c r="X66" s="71">
        <v>-729.77495202845387</v>
      </c>
      <c r="Y66" s="71">
        <v>-703.69406401797846</v>
      </c>
      <c r="Z66" s="71">
        <v>-677.61317600750317</v>
      </c>
      <c r="AA66" s="71">
        <v>-651.53228799702799</v>
      </c>
      <c r="AB66" s="71">
        <v>-625.45139998655281</v>
      </c>
      <c r="AC66" s="71">
        <v>-599.37051197607741</v>
      </c>
      <c r="AD66" s="71">
        <v>-573.28962396560212</v>
      </c>
      <c r="AE66" s="71">
        <v>-547.20873595512683</v>
      </c>
      <c r="AF66" s="71">
        <v>-521.12784794465165</v>
      </c>
      <c r="AG66" s="71">
        <v>-495.04695993417636</v>
      </c>
      <c r="AH66" s="71">
        <v>-468.96607192370101</v>
      </c>
      <c r="AI66" s="71">
        <v>-442.88518391322577</v>
      </c>
      <c r="AJ66" s="71">
        <v>-416.8042959027506</v>
      </c>
      <c r="AK66" s="71">
        <v>-390.72340789227525</v>
      </c>
      <c r="AL66" s="71">
        <v>-364.64251988179996</v>
      </c>
      <c r="AM66" s="71">
        <v>-338.56163187132472</v>
      </c>
      <c r="AN66" s="71">
        <v>-312.48074386084943</v>
      </c>
      <c r="AO66" s="71">
        <v>-286.39985585037419</v>
      </c>
      <c r="AP66" s="71">
        <v>-260.3189678398989</v>
      </c>
      <c r="AQ66" s="71">
        <v>-234.23807982942358</v>
      </c>
      <c r="AR66" s="71">
        <v>-208.15719181894838</v>
      </c>
      <c r="AS66" s="71">
        <v>-182.07630380847306</v>
      </c>
      <c r="AT66" s="71">
        <v>-155.99541579799785</v>
      </c>
      <c r="AU66" s="71">
        <v>-129.91452778752253</v>
      </c>
      <c r="AV66" s="71">
        <v>-103.83363977704721</v>
      </c>
      <c r="AW66" s="71">
        <v>-77.752751766572004</v>
      </c>
      <c r="AX66" s="71">
        <v>-51.671863756096691</v>
      </c>
      <c r="AY66" s="71">
        <v>-25.590975745621485</v>
      </c>
      <c r="AZ66" s="71">
        <v>0.48991226485383232</v>
      </c>
      <c r="BA66" s="71">
        <v>26.570800275329152</v>
      </c>
      <c r="BB66" s="71">
        <v>52.651688285804354</v>
      </c>
      <c r="BC66" s="71">
        <v>78.732576296279674</v>
      </c>
      <c r="BD66" s="71">
        <v>104.81346430675499</v>
      </c>
      <c r="BE66" s="71">
        <v>130.89435231723007</v>
      </c>
      <c r="BF66" s="71">
        <v>156.97524032770539</v>
      </c>
      <c r="BG66" s="71">
        <v>183.05612833818071</v>
      </c>
      <c r="BH66" s="71">
        <v>209.13701634865603</v>
      </c>
      <c r="BI66" s="71">
        <v>235.21790435913135</v>
      </c>
      <c r="BJ66" s="71">
        <v>261.29879236960642</v>
      </c>
      <c r="BK66" s="71">
        <v>287.37968038008177</v>
      </c>
      <c r="BL66" s="71">
        <v>313.46056839055706</v>
      </c>
      <c r="BM66" s="71">
        <v>339.54145640103241</v>
      </c>
      <c r="BN66" s="71">
        <v>365.6223444115077</v>
      </c>
      <c r="BO66" s="71">
        <v>391.70323242198282</v>
      </c>
      <c r="BP66" s="71">
        <v>417.78412043245811</v>
      </c>
      <c r="BQ66" s="71">
        <v>443.86500844293346</v>
      </c>
      <c r="BR66" s="71">
        <v>469.94589645340875</v>
      </c>
      <c r="BS66" s="71">
        <v>496.0267844638841</v>
      </c>
      <c r="BT66" s="71">
        <v>522.10767247435911</v>
      </c>
      <c r="BU66" s="71">
        <v>548.18856048483451</v>
      </c>
      <c r="BV66" s="71">
        <v>574.2694484953098</v>
      </c>
      <c r="BW66" s="71">
        <v>600.35033650578509</v>
      </c>
      <c r="BX66" s="71">
        <v>626.43122451626039</v>
      </c>
      <c r="BY66" s="71">
        <v>652.51211252673556</v>
      </c>
      <c r="BZ66" s="71">
        <v>678.59300053721086</v>
      </c>
      <c r="CA66" s="71">
        <v>704.67388854768615</v>
      </c>
      <c r="CB66" s="71">
        <v>730.75477655816144</v>
      </c>
      <c r="CC66" s="71">
        <v>756.83566456863684</v>
      </c>
      <c r="CD66" s="71">
        <v>782.91655257911191</v>
      </c>
      <c r="CE66" s="71">
        <v>808.9974405895872</v>
      </c>
      <c r="CF66" s="71">
        <v>835.07832860006249</v>
      </c>
      <c r="CG66" s="71">
        <v>861.1592166105379</v>
      </c>
      <c r="CH66" s="71">
        <v>887.24010462101319</v>
      </c>
      <c r="CI66" s="71">
        <v>913.32099263148825</v>
      </c>
      <c r="CJ66" s="71">
        <v>939.40188064196354</v>
      </c>
      <c r="CK66" s="71">
        <v>965.48276865243884</v>
      </c>
      <c r="CL66" s="71">
        <v>991.56365666291424</v>
      </c>
      <c r="CM66" s="71">
        <v>1017.6445446733895</v>
      </c>
      <c r="CN66" s="71">
        <v>1043.7254326838647</v>
      </c>
      <c r="CO66" s="71">
        <v>1069.80632069434</v>
      </c>
      <c r="CP66" s="71">
        <v>1095.8872087048153</v>
      </c>
      <c r="CQ66" s="71">
        <v>1121.9680967152906</v>
      </c>
      <c r="CR66" s="71">
        <v>1148.0489847257659</v>
      </c>
      <c r="CS66" s="71">
        <v>1174.1298727362412</v>
      </c>
      <c r="CT66" s="71">
        <v>1200.2107607467165</v>
      </c>
      <c r="CU66" s="71">
        <v>1226.2916487571913</v>
      </c>
      <c r="CV66" s="71">
        <v>1252.3725367676666</v>
      </c>
      <c r="CW66" s="71">
        <v>1278.4534247781421</v>
      </c>
      <c r="CX66" s="71">
        <v>1304.5343127886174</v>
      </c>
      <c r="CY66" s="71">
        <v>1330.6152007990927</v>
      </c>
      <c r="CZ66" s="71">
        <v>1356.696088809568</v>
      </c>
      <c r="DA66" s="71">
        <v>1382.7769768200433</v>
      </c>
      <c r="DB66" s="71">
        <v>1408.8578648305186</v>
      </c>
      <c r="DC66" s="71">
        <v>1434.9387528409939</v>
      </c>
      <c r="DD66" s="71">
        <v>1461.0196408514691</v>
      </c>
      <c r="DE66" s="71">
        <v>1487.100528861944</v>
      </c>
      <c r="DF66" s="71">
        <v>1513.1814168724195</v>
      </c>
      <c r="DG66" s="71">
        <v>1539.2623048828948</v>
      </c>
      <c r="DH66" s="71">
        <v>1565.3431928933701</v>
      </c>
      <c r="DI66" s="71">
        <v>1591.4240809038454</v>
      </c>
      <c r="DJ66" s="71">
        <v>1617.5049689143207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903.28440818163347</v>
      </c>
      <c r="P67" s="71">
        <v>903.28440818163347</v>
      </c>
      <c r="Q67" s="71">
        <v>903.28577825093805</v>
      </c>
      <c r="R67" s="71">
        <v>903.32123120731512</v>
      </c>
      <c r="S67" s="71">
        <v>903.40465906092709</v>
      </c>
      <c r="T67" s="71">
        <v>903.53606181177406</v>
      </c>
      <c r="U67" s="71">
        <v>903.71543945985604</v>
      </c>
      <c r="V67" s="71">
        <v>903.94279200517292</v>
      </c>
      <c r="W67" s="71">
        <v>904.2181194477248</v>
      </c>
      <c r="X67" s="71">
        <v>904.54142178751169</v>
      </c>
      <c r="Y67" s="71">
        <v>904.91269902453348</v>
      </c>
      <c r="Z67" s="71">
        <v>905.33195115879028</v>
      </c>
      <c r="AA67" s="71">
        <v>905.79917819028208</v>
      </c>
      <c r="AB67" s="71">
        <v>906.31438011900877</v>
      </c>
      <c r="AC67" s="71">
        <v>906.87755694497048</v>
      </c>
      <c r="AD67" s="71">
        <v>907.48870866816719</v>
      </c>
      <c r="AE67" s="71">
        <v>908.14783528859891</v>
      </c>
      <c r="AF67" s="71">
        <v>908.85493680626553</v>
      </c>
      <c r="AG67" s="71">
        <v>909.61001322116704</v>
      </c>
      <c r="AH67" s="71">
        <v>910.41306453330355</v>
      </c>
      <c r="AI67" s="71">
        <v>911.26409074267519</v>
      </c>
      <c r="AJ67" s="71">
        <v>912.16309184928173</v>
      </c>
      <c r="AK67" s="71">
        <v>913.11006785312316</v>
      </c>
      <c r="AL67" s="71">
        <v>914.10501875419959</v>
      </c>
      <c r="AM67" s="71">
        <v>915.14794455251115</v>
      </c>
      <c r="AN67" s="71">
        <v>916.23884524805749</v>
      </c>
      <c r="AO67" s="71">
        <v>917.37772084083883</v>
      </c>
      <c r="AP67" s="71">
        <v>918.56457133085519</v>
      </c>
      <c r="AQ67" s="71">
        <v>919.79939671810644</v>
      </c>
      <c r="AR67" s="71">
        <v>921.08219700259269</v>
      </c>
      <c r="AS67" s="71">
        <v>922.41297218431407</v>
      </c>
      <c r="AT67" s="71">
        <v>923.79172226327034</v>
      </c>
      <c r="AU67" s="71">
        <v>925.21844723946151</v>
      </c>
      <c r="AV67" s="71">
        <v>926.69314711288757</v>
      </c>
      <c r="AW67" s="71">
        <v>928.21662833335699</v>
      </c>
      <c r="AX67" s="71">
        <v>929.84004900435343</v>
      </c>
      <c r="AY67" s="71">
        <v>931.59391940507692</v>
      </c>
      <c r="AZ67" s="71">
        <v>933.47823953552722</v>
      </c>
      <c r="BA67" s="71">
        <v>935.49300939570423</v>
      </c>
      <c r="BB67" s="71">
        <v>937.63822898560829</v>
      </c>
      <c r="BC67" s="71">
        <v>939.91389830523929</v>
      </c>
      <c r="BD67" s="71">
        <v>942.3200173545971</v>
      </c>
      <c r="BE67" s="71">
        <v>944.85658613368184</v>
      </c>
      <c r="BF67" s="71">
        <v>947.52360464249352</v>
      </c>
      <c r="BG67" s="71">
        <v>950.32107288103202</v>
      </c>
      <c r="BH67" s="71">
        <v>953.24899084929746</v>
      </c>
      <c r="BI67" s="71">
        <v>956.30735854728971</v>
      </c>
      <c r="BJ67" s="71">
        <v>959.49617597500901</v>
      </c>
      <c r="BK67" s="71">
        <v>962.81544313245513</v>
      </c>
      <c r="BL67" s="71">
        <v>966.26516001962807</v>
      </c>
      <c r="BM67" s="71">
        <v>969.84532663652806</v>
      </c>
      <c r="BN67" s="71">
        <v>973.55594298315475</v>
      </c>
      <c r="BO67" s="71">
        <v>977.39700905950849</v>
      </c>
      <c r="BP67" s="71">
        <v>981.36852486558894</v>
      </c>
      <c r="BQ67" s="71">
        <v>985.47049040139655</v>
      </c>
      <c r="BR67" s="71">
        <v>989.70290566693097</v>
      </c>
      <c r="BS67" s="71">
        <v>994.06577066219211</v>
      </c>
      <c r="BT67" s="71">
        <v>998.55908538718029</v>
      </c>
      <c r="BU67" s="71">
        <v>1003.1828498418954</v>
      </c>
      <c r="BV67" s="71">
        <v>1007.9370640263373</v>
      </c>
      <c r="BW67" s="71">
        <v>1012.8217279405062</v>
      </c>
      <c r="BX67" s="71">
        <v>1017.836841584402</v>
      </c>
      <c r="BY67" s="71">
        <v>1022.9824049580246</v>
      </c>
      <c r="BZ67" s="71">
        <v>1028.2584180613742</v>
      </c>
      <c r="CA67" s="71">
        <v>1033.6648808944506</v>
      </c>
      <c r="CB67" s="71">
        <v>1039.2017934572539</v>
      </c>
      <c r="CC67" s="71">
        <v>1044.8691557497841</v>
      </c>
      <c r="CD67" s="71">
        <v>1050.6669677720413</v>
      </c>
      <c r="CE67" s="71">
        <v>1056.5952295240252</v>
      </c>
      <c r="CF67" s="71">
        <v>1062.6539410057362</v>
      </c>
      <c r="CG67" s="71">
        <v>1068.8431022171742</v>
      </c>
      <c r="CH67" s="71">
        <v>1075.1627131583389</v>
      </c>
      <c r="CI67" s="71">
        <v>1081.6127738292303</v>
      </c>
      <c r="CJ67" s="71">
        <v>1088.1932842298488</v>
      </c>
      <c r="CK67" s="71">
        <v>1094.9042443601941</v>
      </c>
      <c r="CL67" s="71">
        <v>1101.7456542202665</v>
      </c>
      <c r="CM67" s="71">
        <v>1108.7175138100656</v>
      </c>
      <c r="CN67" s="71">
        <v>1115.8198231295917</v>
      </c>
      <c r="CO67" s="71">
        <v>1123.0525821788447</v>
      </c>
      <c r="CP67" s="71">
        <v>1130.4157909578246</v>
      </c>
      <c r="CQ67" s="71">
        <v>1137.9094494665314</v>
      </c>
      <c r="CR67" s="71">
        <v>1145.533557704965</v>
      </c>
      <c r="CS67" s="71">
        <v>1153.2881156731257</v>
      </c>
      <c r="CT67" s="71">
        <v>1161.1731233710129</v>
      </c>
      <c r="CU67" s="71">
        <v>1169.1885807986273</v>
      </c>
      <c r="CV67" s="71">
        <v>1177.3344879559686</v>
      </c>
      <c r="CW67" s="71">
        <v>1185.6108448430368</v>
      </c>
      <c r="CX67" s="71">
        <v>1194.0176514598318</v>
      </c>
      <c r="CY67" s="71">
        <v>1202.5549078063536</v>
      </c>
      <c r="CZ67" s="71">
        <v>1211.2226138826027</v>
      </c>
      <c r="DA67" s="71">
        <v>1220.0207696885784</v>
      </c>
      <c r="DB67" s="71">
        <v>1228.9493752242809</v>
      </c>
      <c r="DC67" s="71">
        <v>1238.0084304897105</v>
      </c>
      <c r="DD67" s="71">
        <v>1247.1979354848668</v>
      </c>
      <c r="DE67" s="71">
        <v>1256.5178902097498</v>
      </c>
      <c r="DF67" s="71">
        <v>1265.9682946643602</v>
      </c>
      <c r="DG67" s="71">
        <v>1275.5491488486973</v>
      </c>
      <c r="DH67" s="71">
        <v>1285.2604527627611</v>
      </c>
      <c r="DI67" s="71">
        <v>1295.1022064065523</v>
      </c>
      <c r="DJ67" s="71">
        <v>1305.07440978007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-65.922342260089408</v>
      </c>
      <c r="P68" s="71">
        <v>-65.922342260089408</v>
      </c>
      <c r="Q68" s="71">
        <v>-65.919194200909146</v>
      </c>
      <c r="R68" s="71">
        <v>-65.837732624902003</v>
      </c>
      <c r="S68" s="71">
        <v>-65.646037343813106</v>
      </c>
      <c r="T68" s="71">
        <v>-65.344108357642483</v>
      </c>
      <c r="U68" s="71">
        <v>-64.931945666390078</v>
      </c>
      <c r="V68" s="71">
        <v>-64.409549270055948</v>
      </c>
      <c r="W68" s="71">
        <v>-63.77691916864007</v>
      </c>
      <c r="X68" s="71">
        <v>-63.034055362142446</v>
      </c>
      <c r="Y68" s="71">
        <v>-62.180957850563054</v>
      </c>
      <c r="Z68" s="71">
        <v>-61.217626633901915</v>
      </c>
      <c r="AA68" s="71">
        <v>-60.144061712159044</v>
      </c>
      <c r="AB68" s="71">
        <v>-58.960263085334418</v>
      </c>
      <c r="AC68" s="71">
        <v>-57.666230753428039</v>
      </c>
      <c r="AD68" s="71">
        <v>-56.26196471643992</v>
      </c>
      <c r="AE68" s="71">
        <v>-54.747464974370047</v>
      </c>
      <c r="AF68" s="71">
        <v>-53.122731527218427</v>
      </c>
      <c r="AG68" s="71">
        <v>-51.387764374985061</v>
      </c>
      <c r="AH68" s="71">
        <v>-49.54256351766994</v>
      </c>
      <c r="AI68" s="71">
        <v>-47.587128955273073</v>
      </c>
      <c r="AJ68" s="71">
        <v>-45.521460687794466</v>
      </c>
      <c r="AK68" s="71">
        <v>-43.345558715234091</v>
      </c>
      <c r="AL68" s="71">
        <v>-41.059423037591984</v>
      </c>
      <c r="AM68" s="71">
        <v>-38.663053654868122</v>
      </c>
      <c r="AN68" s="71">
        <v>-36.156450567062514</v>
      </c>
      <c r="AO68" s="71">
        <v>-33.539613774175159</v>
      </c>
      <c r="AP68" s="71">
        <v>-30.812543276206057</v>
      </c>
      <c r="AQ68" s="71">
        <v>-27.975239073155194</v>
      </c>
      <c r="AR68" s="71">
        <v>-25.027701165022599</v>
      </c>
      <c r="AS68" s="71">
        <v>-21.969929551808242</v>
      </c>
      <c r="AT68" s="71">
        <v>-18.80192423351215</v>
      </c>
      <c r="AU68" s="71">
        <v>-15.523685210134296</v>
      </c>
      <c r="AV68" s="71">
        <v>-12.13521248167469</v>
      </c>
      <c r="AW68" s="71">
        <v>-8.6358109025382692</v>
      </c>
      <c r="AX68" s="71">
        <v>-4.981383084496275</v>
      </c>
      <c r="AY68" s="71">
        <v>-1.1456297018264001</v>
      </c>
      <c r="AZ68" s="71">
        <v>2.87144924547139</v>
      </c>
      <c r="BA68" s="71">
        <v>7.0698537573970786</v>
      </c>
      <c r="BB68" s="71">
        <v>11.449583833950644</v>
      </c>
      <c r="BC68" s="71">
        <v>16.01063947513213</v>
      </c>
      <c r="BD68" s="71">
        <v>20.753020680941511</v>
      </c>
      <c r="BE68" s="71">
        <v>25.676727451378746</v>
      </c>
      <c r="BF68" s="71">
        <v>30.781759786443924</v>
      </c>
      <c r="BG68" s="71">
        <v>36.068117686137001</v>
      </c>
      <c r="BH68" s="71">
        <v>41.535801150457971</v>
      </c>
      <c r="BI68" s="71">
        <v>47.184810179406846</v>
      </c>
      <c r="BJ68" s="71">
        <v>53.015144772983561</v>
      </c>
      <c r="BK68" s="71">
        <v>59.026804931188224</v>
      </c>
      <c r="BL68" s="71">
        <v>65.219790654020798</v>
      </c>
      <c r="BM68" s="71">
        <v>71.594101941481256</v>
      </c>
      <c r="BN68" s="71">
        <v>78.149738793569611</v>
      </c>
      <c r="BO68" s="71">
        <v>84.886701210285821</v>
      </c>
      <c r="BP68" s="71">
        <v>91.804989191629971</v>
      </c>
      <c r="BQ68" s="71">
        <v>98.904602737602033</v>
      </c>
      <c r="BR68" s="71">
        <v>106.18554184820198</v>
      </c>
      <c r="BS68" s="71">
        <v>113.64780652342984</v>
      </c>
      <c r="BT68" s="71">
        <v>121.29139676328549</v>
      </c>
      <c r="BU68" s="71">
        <v>129.11631256776914</v>
      </c>
      <c r="BV68" s="71">
        <v>137.12255393688071</v>
      </c>
      <c r="BW68" s="71">
        <v>145.31012087062015</v>
      </c>
      <c r="BX68" s="71">
        <v>153.67901336898748</v>
      </c>
      <c r="BY68" s="71">
        <v>162.22923143198267</v>
      </c>
      <c r="BZ68" s="71">
        <v>170.96077505960579</v>
      </c>
      <c r="CA68" s="71">
        <v>179.87364425185683</v>
      </c>
      <c r="CB68" s="71">
        <v>188.96783900873575</v>
      </c>
      <c r="CC68" s="71">
        <v>198.24335933024258</v>
      </c>
      <c r="CD68" s="71">
        <v>207.70020521637724</v>
      </c>
      <c r="CE68" s="71">
        <v>217.33837666713987</v>
      </c>
      <c r="CF68" s="71">
        <v>227.15787368253038</v>
      </c>
      <c r="CG68" s="71">
        <v>237.1586962625488</v>
      </c>
      <c r="CH68" s="71">
        <v>247.34084440719511</v>
      </c>
      <c r="CI68" s="71">
        <v>257.70431811646921</v>
      </c>
      <c r="CJ68" s="71">
        <v>268.24911739037134</v>
      </c>
      <c r="CK68" s="71">
        <v>278.97524222890138</v>
      </c>
      <c r="CL68" s="71">
        <v>289.88269263205927</v>
      </c>
      <c r="CM68" s="71">
        <v>300.97146859984508</v>
      </c>
      <c r="CN68" s="71">
        <v>312.24157013225869</v>
      </c>
      <c r="CO68" s="71">
        <v>323.69299722930026</v>
      </c>
      <c r="CP68" s="71">
        <v>335.3257498909698</v>
      </c>
      <c r="CQ68" s="71">
        <v>347.1398281172672</v>
      </c>
      <c r="CR68" s="71">
        <v>359.13523190819245</v>
      </c>
      <c r="CS68" s="71">
        <v>371.31196126374567</v>
      </c>
      <c r="CT68" s="71">
        <v>383.67001618392675</v>
      </c>
      <c r="CU68" s="71">
        <v>396.20939666873556</v>
      </c>
      <c r="CV68" s="71">
        <v>408.93010271817246</v>
      </c>
      <c r="CW68" s="71">
        <v>421.83213433223722</v>
      </c>
      <c r="CX68" s="71">
        <v>434.91549151092988</v>
      </c>
      <c r="CY68" s="71">
        <v>448.18017425425046</v>
      </c>
      <c r="CZ68" s="71">
        <v>461.62618256219895</v>
      </c>
      <c r="DA68" s="71">
        <v>475.25351643477529</v>
      </c>
      <c r="DB68" s="71">
        <v>489.06217587197955</v>
      </c>
      <c r="DC68" s="71">
        <v>503.05216087381172</v>
      </c>
      <c r="DD68" s="71">
        <v>517.22347144027185</v>
      </c>
      <c r="DE68" s="71">
        <v>531.57610757135956</v>
      </c>
      <c r="DF68" s="71">
        <v>546.11006926707546</v>
      </c>
      <c r="DG68" s="71">
        <v>560.82535652741922</v>
      </c>
      <c r="DH68" s="71">
        <v>575.72196935239083</v>
      </c>
      <c r="DI68" s="71">
        <v>590.79990774199041</v>
      </c>
      <c r="DJ68" s="71">
        <v>606.05917169621785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B.2.1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1540.4809227755436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120.51030603749113</v>
      </c>
      <c r="K85" s="79">
        <v>943.83102745895269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-918.57423249783926</v>
      </c>
      <c r="K86" s="79">
        <v>903.28440818163347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B.2.2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933441.64163440338</v>
      </c>
      <c r="J89" s="80">
        <v>7.4655992636092558E-2</v>
      </c>
      <c r="K89" s="80">
        <v>9.5888922688107465E-8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933039.94748380885</v>
      </c>
      <c r="J90" s="80">
        <v>6.4786357486345841E-2</v>
      </c>
      <c r="K90" s="80">
        <v>3.526462815649373E-8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903284.40818163345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B.3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B.3.1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-9.1324080142130342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1540.4809227755436</v>
      </c>
      <c r="K114" s="79">
        <v>561.51735589166344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120.51030603749113</v>
      </c>
      <c r="K115" s="79">
        <v>23.694639622017423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-918.57423249783926</v>
      </c>
      <c r="K116" s="79">
        <v>-65.922342260089408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B.3.2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2.7943200191604021</v>
      </c>
      <c r="J119" s="80">
        <v>1.573694748019199E-4</v>
      </c>
      <c r="K119" s="80">
        <v>1.3328592619074713E-10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2.4480667044006097</v>
      </c>
      <c r="J120" s="80">
        <v>1.4886202235081931E-4</v>
      </c>
      <c r="K120" s="80">
        <v>8.1028847252782857E-11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-65.922342260089408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B.4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B.4.1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0.74253427729521959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0.63575115537527982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B.4.1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2.0853981633974481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2307.8784491005872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16.780534071968088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5114.2497629796226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B.4.2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131532.7535591429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1.0388819485990615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B.4.3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1833.7107597259278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-486.28924027407209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-350.8849922237672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-837.17423249783928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B.4.4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7.8406237748028823E-2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B.4.5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B.4.6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59.999999999999993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5.904527602246866E-2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0.13567052601806626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201.57068349663211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-35.328346391219618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-9.1324080142129773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3.797341872976789E-3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-35.284945474277087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-9.119462752250989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2.7531662535127031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4" priority="3" stopIfTrue="1" operator="between">
      <formula>0</formula>
      <formula>1</formula>
    </cfRule>
  </conditionalFormatting>
  <conditionalFormatting sqref="K94">
    <cfRule type="cellIs" dxfId="23" priority="2" stopIfTrue="1" operator="between">
      <formula>0</formula>
      <formula>1</formula>
    </cfRule>
  </conditionalFormatting>
  <conditionalFormatting sqref="K124">
    <cfRule type="cellIs" dxfId="22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81"/>
  <sheetViews>
    <sheetView showGridLines="0" zoomScaleNormal="100" workbookViewId="0">
      <pane ySplit="1" topLeftCell="A165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293</v>
      </c>
      <c r="B11" s="37" t="s">
        <v>291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90°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C.1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C.1.1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C.1.2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C.1.3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2.6525058127308663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5890.4862254808613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C.2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-922.59772145908391</v>
      </c>
      <c r="P66" s="71">
        <v>-896.78615387427533</v>
      </c>
      <c r="Q66" s="71">
        <v>-870.97458628946663</v>
      </c>
      <c r="R66" s="71">
        <v>-845.16301870465804</v>
      </c>
      <c r="S66" s="71">
        <v>-819.35145111984934</v>
      </c>
      <c r="T66" s="71">
        <v>-793.53988353504064</v>
      </c>
      <c r="U66" s="71">
        <v>-767.72831595023206</v>
      </c>
      <c r="V66" s="71">
        <v>-741.91674836542336</v>
      </c>
      <c r="W66" s="71">
        <v>-716.10518078061477</v>
      </c>
      <c r="X66" s="71">
        <v>-690.29361319580607</v>
      </c>
      <c r="Y66" s="71">
        <v>-664.48204561099737</v>
      </c>
      <c r="Z66" s="71">
        <v>-638.67047802618879</v>
      </c>
      <c r="AA66" s="71">
        <v>-612.85891044138009</v>
      </c>
      <c r="AB66" s="71">
        <v>-587.04734285657139</v>
      </c>
      <c r="AC66" s="71">
        <v>-561.2357752717628</v>
      </c>
      <c r="AD66" s="71">
        <v>-535.42420768695422</v>
      </c>
      <c r="AE66" s="71">
        <v>-509.61264010214552</v>
      </c>
      <c r="AF66" s="71">
        <v>-483.80107251733682</v>
      </c>
      <c r="AG66" s="71">
        <v>-457.98950493252818</v>
      </c>
      <c r="AH66" s="71">
        <v>-432.17793734771953</v>
      </c>
      <c r="AI66" s="71">
        <v>-406.36636976291089</v>
      </c>
      <c r="AJ66" s="71">
        <v>-380.55480217810219</v>
      </c>
      <c r="AK66" s="71">
        <v>-354.74323459329361</v>
      </c>
      <c r="AL66" s="71">
        <v>-328.93166700848496</v>
      </c>
      <c r="AM66" s="71">
        <v>-303.12009942367627</v>
      </c>
      <c r="AN66" s="71">
        <v>-277.30853183886757</v>
      </c>
      <c r="AO66" s="71">
        <v>-251.49696425405889</v>
      </c>
      <c r="AP66" s="71">
        <v>-225.68539666925034</v>
      </c>
      <c r="AQ66" s="71">
        <v>-199.87382908444164</v>
      </c>
      <c r="AR66" s="71">
        <v>-174.06226149963297</v>
      </c>
      <c r="AS66" s="71">
        <v>-148.25069391482441</v>
      </c>
      <c r="AT66" s="71">
        <v>-122.43912633001571</v>
      </c>
      <c r="AU66" s="71">
        <v>-96.627558745207025</v>
      </c>
      <c r="AV66" s="71">
        <v>-70.815991160398355</v>
      </c>
      <c r="AW66" s="71">
        <v>-45.004423575589669</v>
      </c>
      <c r="AX66" s="71">
        <v>-19.192855990781098</v>
      </c>
      <c r="AY66" s="71">
        <v>6.6187115940275838</v>
      </c>
      <c r="AZ66" s="71">
        <v>32.430279178836265</v>
      </c>
      <c r="BA66" s="71">
        <v>58.24184676364483</v>
      </c>
      <c r="BB66" s="71">
        <v>84.053414348453515</v>
      </c>
      <c r="BC66" s="71">
        <v>109.8649819332622</v>
      </c>
      <c r="BD66" s="71">
        <v>135.67654951807089</v>
      </c>
      <c r="BE66" s="71">
        <v>161.48811710287956</v>
      </c>
      <c r="BF66" s="71">
        <v>187.29968468768826</v>
      </c>
      <c r="BG66" s="71">
        <v>213.1112522724967</v>
      </c>
      <c r="BH66" s="71">
        <v>238.92281985730537</v>
      </c>
      <c r="BI66" s="71">
        <v>264.73438744211404</v>
      </c>
      <c r="BJ66" s="71">
        <v>290.54595502692274</v>
      </c>
      <c r="BK66" s="71">
        <v>316.35752261173144</v>
      </c>
      <c r="BL66" s="71">
        <v>342.16909019654014</v>
      </c>
      <c r="BM66" s="71">
        <v>367.98065778134878</v>
      </c>
      <c r="BN66" s="71">
        <v>393.79222536615748</v>
      </c>
      <c r="BO66" s="71">
        <v>419.60379295096618</v>
      </c>
      <c r="BP66" s="71">
        <v>445.4153605357746</v>
      </c>
      <c r="BQ66" s="71">
        <v>471.2269281205833</v>
      </c>
      <c r="BR66" s="71">
        <v>497.03849570539199</v>
      </c>
      <c r="BS66" s="71">
        <v>522.85006329020064</v>
      </c>
      <c r="BT66" s="71">
        <v>548.66163087500934</v>
      </c>
      <c r="BU66" s="71">
        <v>574.47319845981804</v>
      </c>
      <c r="BV66" s="71">
        <v>600.28476604462674</v>
      </c>
      <c r="BW66" s="71">
        <v>626.09633362943521</v>
      </c>
      <c r="BX66" s="71">
        <v>651.90790121424379</v>
      </c>
      <c r="BY66" s="71">
        <v>677.71946879905249</v>
      </c>
      <c r="BZ66" s="71">
        <v>703.53103638386119</v>
      </c>
      <c r="CA66" s="71">
        <v>729.34260396866989</v>
      </c>
      <c r="CB66" s="71">
        <v>755.15417155347859</v>
      </c>
      <c r="CC66" s="71">
        <v>780.96573913828729</v>
      </c>
      <c r="CD66" s="71">
        <v>806.77730672309599</v>
      </c>
      <c r="CE66" s="71">
        <v>832.58887430790458</v>
      </c>
      <c r="CF66" s="71">
        <v>858.40044189271305</v>
      </c>
      <c r="CG66" s="71">
        <v>884.21200947752175</v>
      </c>
      <c r="CH66" s="71">
        <v>910.02357706233045</v>
      </c>
      <c r="CI66" s="71">
        <v>935.83514464713915</v>
      </c>
      <c r="CJ66" s="71">
        <v>961.64671223194784</v>
      </c>
      <c r="CK66" s="71">
        <v>987.45827981675654</v>
      </c>
      <c r="CL66" s="71">
        <v>1013.2698474015651</v>
      </c>
      <c r="CM66" s="71">
        <v>1039.0814149863736</v>
      </c>
      <c r="CN66" s="71">
        <v>1064.8929825711823</v>
      </c>
      <c r="CO66" s="71">
        <v>1090.704550155991</v>
      </c>
      <c r="CP66" s="71">
        <v>1116.5161177407997</v>
      </c>
      <c r="CQ66" s="71">
        <v>1142.3276853256084</v>
      </c>
      <c r="CR66" s="71">
        <v>1168.1392529104171</v>
      </c>
      <c r="CS66" s="71">
        <v>1193.9508204952258</v>
      </c>
      <c r="CT66" s="71">
        <v>1219.7623880800343</v>
      </c>
      <c r="CU66" s="71">
        <v>1245.5739556648432</v>
      </c>
      <c r="CV66" s="71">
        <v>1271.3855232496514</v>
      </c>
      <c r="CW66" s="71">
        <v>1297.1970908344604</v>
      </c>
      <c r="CX66" s="71">
        <v>1323.0086584192688</v>
      </c>
      <c r="CY66" s="71">
        <v>1348.8202260040773</v>
      </c>
      <c r="CZ66" s="71">
        <v>1374.6317935888862</v>
      </c>
      <c r="DA66" s="71">
        <v>1400.4433611736947</v>
      </c>
      <c r="DB66" s="71">
        <v>1426.2549287585036</v>
      </c>
      <c r="DC66" s="71">
        <v>1452.0664963433121</v>
      </c>
      <c r="DD66" s="71">
        <v>1477.878063928121</v>
      </c>
      <c r="DE66" s="71">
        <v>1503.6896315129295</v>
      </c>
      <c r="DF66" s="71">
        <v>1529.5011990977384</v>
      </c>
      <c r="DG66" s="71">
        <v>1555.3127666825469</v>
      </c>
      <c r="DH66" s="71">
        <v>1581.1243342673554</v>
      </c>
      <c r="DI66" s="71">
        <v>1606.9359018521641</v>
      </c>
      <c r="DJ66" s="71">
        <v>1632.7474694369728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905.88780483322182</v>
      </c>
      <c r="P67" s="71">
        <v>905.88780483322182</v>
      </c>
      <c r="Q67" s="71">
        <v>905.8898620002816</v>
      </c>
      <c r="R67" s="71">
        <v>905.92684889059308</v>
      </c>
      <c r="S67" s="71">
        <v>906.01018962617763</v>
      </c>
      <c r="T67" s="71">
        <v>906.13988420703527</v>
      </c>
      <c r="U67" s="71">
        <v>906.3159326331662</v>
      </c>
      <c r="V67" s="71">
        <v>906.53833490457021</v>
      </c>
      <c r="W67" s="71">
        <v>906.80709102124752</v>
      </c>
      <c r="X67" s="71">
        <v>907.1222009831979</v>
      </c>
      <c r="Y67" s="71">
        <v>907.48366479042136</v>
      </c>
      <c r="Z67" s="71">
        <v>907.89148244291812</v>
      </c>
      <c r="AA67" s="71">
        <v>908.34565394068795</v>
      </c>
      <c r="AB67" s="71">
        <v>908.84617928373109</v>
      </c>
      <c r="AC67" s="71">
        <v>909.39305847204719</v>
      </c>
      <c r="AD67" s="71">
        <v>909.98629150563659</v>
      </c>
      <c r="AE67" s="71">
        <v>910.62587838449895</v>
      </c>
      <c r="AF67" s="71">
        <v>911.31181910863472</v>
      </c>
      <c r="AG67" s="71">
        <v>912.04411367804346</v>
      </c>
      <c r="AH67" s="71">
        <v>912.8227620927255</v>
      </c>
      <c r="AI67" s="71">
        <v>913.64776435268061</v>
      </c>
      <c r="AJ67" s="71">
        <v>914.51912045790891</v>
      </c>
      <c r="AK67" s="71">
        <v>915.4368304084104</v>
      </c>
      <c r="AL67" s="71">
        <v>916.40089420418508</v>
      </c>
      <c r="AM67" s="71">
        <v>917.41131184523283</v>
      </c>
      <c r="AN67" s="71">
        <v>918.46808333155388</v>
      </c>
      <c r="AO67" s="71">
        <v>919.57120866314801</v>
      </c>
      <c r="AP67" s="71">
        <v>920.72068784001533</v>
      </c>
      <c r="AQ67" s="71">
        <v>921.91652086215572</v>
      </c>
      <c r="AR67" s="71">
        <v>923.1587077295693</v>
      </c>
      <c r="AS67" s="71">
        <v>924.44724844225595</v>
      </c>
      <c r="AT67" s="71">
        <v>925.78214300021602</v>
      </c>
      <c r="AU67" s="71">
        <v>927.16339140344905</v>
      </c>
      <c r="AV67" s="71">
        <v>928.59785742177587</v>
      </c>
      <c r="AW67" s="71">
        <v>930.14611301405603</v>
      </c>
      <c r="AX67" s="71">
        <v>931.82236585123883</v>
      </c>
      <c r="AY67" s="71">
        <v>933.62661593332462</v>
      </c>
      <c r="AZ67" s="71">
        <v>935.55886326031293</v>
      </c>
      <c r="BA67" s="71">
        <v>937.61910783220401</v>
      </c>
      <c r="BB67" s="71">
        <v>939.80734964899773</v>
      </c>
      <c r="BC67" s="71">
        <v>942.12358871069432</v>
      </c>
      <c r="BD67" s="71">
        <v>944.56782501729356</v>
      </c>
      <c r="BE67" s="71">
        <v>947.14005856879555</v>
      </c>
      <c r="BF67" s="71">
        <v>949.84028936520019</v>
      </c>
      <c r="BG67" s="71">
        <v>952.66851740650759</v>
      </c>
      <c r="BH67" s="71">
        <v>955.62474269271786</v>
      </c>
      <c r="BI67" s="71">
        <v>958.70896522383066</v>
      </c>
      <c r="BJ67" s="71">
        <v>961.92118499984622</v>
      </c>
      <c r="BK67" s="71">
        <v>965.26140202076454</v>
      </c>
      <c r="BL67" s="71">
        <v>968.72961628658561</v>
      </c>
      <c r="BM67" s="71">
        <v>972.32582779730933</v>
      </c>
      <c r="BN67" s="71">
        <v>976.05003655293581</v>
      </c>
      <c r="BO67" s="71">
        <v>979.90224255346504</v>
      </c>
      <c r="BP67" s="71">
        <v>983.88244579889692</v>
      </c>
      <c r="BQ67" s="71">
        <v>987.99064628923156</v>
      </c>
      <c r="BR67" s="71">
        <v>992.22684402446907</v>
      </c>
      <c r="BS67" s="71">
        <v>996.59103900460912</v>
      </c>
      <c r="BT67" s="71">
        <v>1001.0832312296519</v>
      </c>
      <c r="BU67" s="71">
        <v>1005.7034206995975</v>
      </c>
      <c r="BV67" s="71">
        <v>1010.4516074144457</v>
      </c>
      <c r="BW67" s="71">
        <v>1015.3277913741967</v>
      </c>
      <c r="BX67" s="71">
        <v>1020.3319725788505</v>
      </c>
      <c r="BY67" s="71">
        <v>1025.4641510284068</v>
      </c>
      <c r="BZ67" s="71">
        <v>1030.724326722866</v>
      </c>
      <c r="CA67" s="71">
        <v>1036.1124996622279</v>
      </c>
      <c r="CB67" s="71">
        <v>1041.6286698464926</v>
      </c>
      <c r="CC67" s="71">
        <v>1047.2728372756599</v>
      </c>
      <c r="CD67" s="71">
        <v>1053.0450019497298</v>
      </c>
      <c r="CE67" s="71">
        <v>1058.9451638687028</v>
      </c>
      <c r="CF67" s="71">
        <v>1064.9733230325783</v>
      </c>
      <c r="CG67" s="71">
        <v>1071.1294794413564</v>
      </c>
      <c r="CH67" s="71">
        <v>1077.4136330950373</v>
      </c>
      <c r="CI67" s="71">
        <v>1083.8257839936211</v>
      </c>
      <c r="CJ67" s="71">
        <v>1090.3659321371074</v>
      </c>
      <c r="CK67" s="71">
        <v>1097.0340775254965</v>
      </c>
      <c r="CL67" s="71">
        <v>1103.8302201587883</v>
      </c>
      <c r="CM67" s="71">
        <v>1110.7543600369829</v>
      </c>
      <c r="CN67" s="71">
        <v>1117.8064971600802</v>
      </c>
      <c r="CO67" s="71">
        <v>1124.9866315280801</v>
      </c>
      <c r="CP67" s="71">
        <v>1132.2947631409829</v>
      </c>
      <c r="CQ67" s="71">
        <v>1139.7308919987884</v>
      </c>
      <c r="CR67" s="71">
        <v>1147.2950181014967</v>
      </c>
      <c r="CS67" s="71">
        <v>1154.9871414491076</v>
      </c>
      <c r="CT67" s="71">
        <v>1162.8072620416212</v>
      </c>
      <c r="CU67" s="71">
        <v>1170.7553798790375</v>
      </c>
      <c r="CV67" s="71">
        <v>1178.8314949613566</v>
      </c>
      <c r="CW67" s="71">
        <v>1187.0356072885786</v>
      </c>
      <c r="CX67" s="71">
        <v>1195.3677168607028</v>
      </c>
      <c r="CY67" s="71">
        <v>1203.8278236777301</v>
      </c>
      <c r="CZ67" s="71">
        <v>1212.41592773966</v>
      </c>
      <c r="DA67" s="71">
        <v>1221.1320290464926</v>
      </c>
      <c r="DB67" s="71">
        <v>1229.9761275982282</v>
      </c>
      <c r="DC67" s="71">
        <v>1238.9482233948663</v>
      </c>
      <c r="DD67" s="71">
        <v>1248.048316436407</v>
      </c>
      <c r="DE67" s="71">
        <v>1257.2764067228507</v>
      </c>
      <c r="DF67" s="71">
        <v>1266.6324942541969</v>
      </c>
      <c r="DG67" s="71">
        <v>1276.116579030446</v>
      </c>
      <c r="DH67" s="71">
        <v>1285.7286610515978</v>
      </c>
      <c r="DI67" s="71">
        <v>1295.4687403176522</v>
      </c>
      <c r="DJ67" s="71">
        <v>1305.3368168286095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-61.085526007195391</v>
      </c>
      <c r="P68" s="71">
        <v>-61.085526007195391</v>
      </c>
      <c r="Q68" s="71">
        <v>-61.080668580521099</v>
      </c>
      <c r="R68" s="71">
        <v>-60.993334347385428</v>
      </c>
      <c r="S68" s="71">
        <v>-60.79654842756463</v>
      </c>
      <c r="T68" s="71">
        <v>-60.490310821058721</v>
      </c>
      <c r="U68" s="71">
        <v>-60.074621527867698</v>
      </c>
      <c r="V68" s="71">
        <v>-59.549480547991564</v>
      </c>
      <c r="W68" s="71">
        <v>-58.914887881430289</v>
      </c>
      <c r="X68" s="71">
        <v>-58.170843528183923</v>
      </c>
      <c r="Y68" s="71">
        <v>-57.317347488252423</v>
      </c>
      <c r="Z68" s="71">
        <v>-56.354399761635818</v>
      </c>
      <c r="AA68" s="71">
        <v>-55.282000348334094</v>
      </c>
      <c r="AB68" s="71">
        <v>-54.100149248347243</v>
      </c>
      <c r="AC68" s="71">
        <v>-52.808846461675294</v>
      </c>
      <c r="AD68" s="71">
        <v>-51.408091988318212</v>
      </c>
      <c r="AE68" s="71">
        <v>-49.897885828276024</v>
      </c>
      <c r="AF68" s="71">
        <v>-48.278227981548703</v>
      </c>
      <c r="AG68" s="71">
        <v>-46.549118448136284</v>
      </c>
      <c r="AH68" s="71">
        <v>-44.710557228038738</v>
      </c>
      <c r="AI68" s="71">
        <v>-42.76254432125608</v>
      </c>
      <c r="AJ68" s="71">
        <v>-40.705079727788302</v>
      </c>
      <c r="AK68" s="71">
        <v>-38.538163447635419</v>
      </c>
      <c r="AL68" s="71">
        <v>-36.261795480797403</v>
      </c>
      <c r="AM68" s="71">
        <v>-33.875975827274274</v>
      </c>
      <c r="AN68" s="71">
        <v>-31.38070448706603</v>
      </c>
      <c r="AO68" s="71">
        <v>-28.77598146017267</v>
      </c>
      <c r="AP68" s="71">
        <v>-26.061806746594208</v>
      </c>
      <c r="AQ68" s="71">
        <v>-23.238180346330605</v>
      </c>
      <c r="AR68" s="71">
        <v>-20.305102259381894</v>
      </c>
      <c r="AS68" s="71">
        <v>-17.262572485748077</v>
      </c>
      <c r="AT68" s="71">
        <v>-14.110591025429134</v>
      </c>
      <c r="AU68" s="71">
        <v>-10.849157878425068</v>
      </c>
      <c r="AV68" s="71">
        <v>-7.4721840577732461</v>
      </c>
      <c r="AW68" s="71">
        <v>-3.925934971924653</v>
      </c>
      <c r="AX68" s="71">
        <v>-0.19780671290435059</v>
      </c>
      <c r="AY68" s="71">
        <v>3.7122007192876962</v>
      </c>
      <c r="AZ68" s="71">
        <v>7.804087324651471</v>
      </c>
      <c r="BA68" s="71">
        <v>12.077853103186952</v>
      </c>
      <c r="BB68" s="71">
        <v>16.533498054894181</v>
      </c>
      <c r="BC68" s="71">
        <v>21.171022179773139</v>
      </c>
      <c r="BD68" s="71">
        <v>25.990425477823823</v>
      </c>
      <c r="BE68" s="71">
        <v>30.991707949046233</v>
      </c>
      <c r="BF68" s="71">
        <v>36.17486959344037</v>
      </c>
      <c r="BG68" s="71">
        <v>41.53991041100619</v>
      </c>
      <c r="BH68" s="71">
        <v>47.086830401743789</v>
      </c>
      <c r="BI68" s="71">
        <v>52.815629565653104</v>
      </c>
      <c r="BJ68" s="71">
        <v>58.726307902734149</v>
      </c>
      <c r="BK68" s="71">
        <v>64.818865412986924</v>
      </c>
      <c r="BL68" s="71">
        <v>71.093302096411421</v>
      </c>
      <c r="BM68" s="71">
        <v>77.549617953007655</v>
      </c>
      <c r="BN68" s="71">
        <v>84.187812982775625</v>
      </c>
      <c r="BO68" s="71">
        <v>91.007887185715305</v>
      </c>
      <c r="BP68" s="71">
        <v>98.00984056182665</v>
      </c>
      <c r="BQ68" s="71">
        <v>105.19367311110979</v>
      </c>
      <c r="BR68" s="71">
        <v>112.55938483356465</v>
      </c>
      <c r="BS68" s="71">
        <v>120.10697572919126</v>
      </c>
      <c r="BT68" s="71">
        <v>127.83644579798958</v>
      </c>
      <c r="BU68" s="71">
        <v>135.74779503995964</v>
      </c>
      <c r="BV68" s="71">
        <v>143.84102345510141</v>
      </c>
      <c r="BW68" s="71">
        <v>152.11613104341484</v>
      </c>
      <c r="BX68" s="71">
        <v>160.57311780490008</v>
      </c>
      <c r="BY68" s="71">
        <v>169.21198373955704</v>
      </c>
      <c r="BZ68" s="71">
        <v>178.03272884738573</v>
      </c>
      <c r="CA68" s="71">
        <v>187.03535312838613</v>
      </c>
      <c r="CB68" s="71">
        <v>196.21985658255826</v>
      </c>
      <c r="CC68" s="71">
        <v>205.58623920990215</v>
      </c>
      <c r="CD68" s="71">
        <v>215.13450101041772</v>
      </c>
      <c r="CE68" s="71">
        <v>224.86464198410505</v>
      </c>
      <c r="CF68" s="71">
        <v>234.77666213096404</v>
      </c>
      <c r="CG68" s="71">
        <v>244.87056145099481</v>
      </c>
      <c r="CH68" s="71">
        <v>255.14633994419731</v>
      </c>
      <c r="CI68" s="71">
        <v>265.60399761057153</v>
      </c>
      <c r="CJ68" s="71">
        <v>276.24353445011747</v>
      </c>
      <c r="CK68" s="71">
        <v>287.06495046283516</v>
      </c>
      <c r="CL68" s="71">
        <v>298.0682456487246</v>
      </c>
      <c r="CM68" s="71">
        <v>309.25342000778568</v>
      </c>
      <c r="CN68" s="71">
        <v>320.62047354001851</v>
      </c>
      <c r="CO68" s="71">
        <v>332.16940624542309</v>
      </c>
      <c r="CP68" s="71">
        <v>343.90021812399942</v>
      </c>
      <c r="CQ68" s="71">
        <v>355.81290917574745</v>
      </c>
      <c r="CR68" s="71">
        <v>367.90747940066723</v>
      </c>
      <c r="CS68" s="71">
        <v>380.18392879875876</v>
      </c>
      <c r="CT68" s="71">
        <v>392.64225737002187</v>
      </c>
      <c r="CU68" s="71">
        <v>405.28246511445701</v>
      </c>
      <c r="CV68" s="71">
        <v>418.10455203206351</v>
      </c>
      <c r="CW68" s="71">
        <v>431.1085181228421</v>
      </c>
      <c r="CX68" s="71">
        <v>444.2943633867921</v>
      </c>
      <c r="CY68" s="71">
        <v>457.66208782391385</v>
      </c>
      <c r="CZ68" s="71">
        <v>471.21169143420758</v>
      </c>
      <c r="DA68" s="71">
        <v>484.94317421767278</v>
      </c>
      <c r="DB68" s="71">
        <v>498.85653617430995</v>
      </c>
      <c r="DC68" s="71">
        <v>512.95177730411865</v>
      </c>
      <c r="DD68" s="71">
        <v>527.22889760709927</v>
      </c>
      <c r="DE68" s="71">
        <v>541.68789708325141</v>
      </c>
      <c r="DF68" s="71">
        <v>556.32877573257554</v>
      </c>
      <c r="DG68" s="71">
        <v>571.15153355507107</v>
      </c>
      <c r="DH68" s="71">
        <v>586.15617055073824</v>
      </c>
      <c r="DI68" s="71">
        <v>601.34268671957761</v>
      </c>
      <c r="DJ68" s="71">
        <v>616.71108206158851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C.2.1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1554.997589939974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118.45768357903395</v>
      </c>
      <c r="K85" s="79">
        <v>942.92306520811837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-878.66449662769901</v>
      </c>
      <c r="K86" s="79">
        <v>905.88780483322182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C.2.2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933151.75980607513</v>
      </c>
      <c r="J89" s="80">
        <v>7.1108703580105154E-2</v>
      </c>
      <c r="K89" s="80">
        <v>9.6059841192128202E-8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932745.77373579715</v>
      </c>
      <c r="J90" s="80">
        <v>6.1133615858284432E-2</v>
      </c>
      <c r="K90" s="80">
        <v>3.4787803588806834E-8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905887.80483322183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C.3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C.3.1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-8.8737398424849196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1554.997589939974</v>
      </c>
      <c r="K114" s="79">
        <v>570.96944075614704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118.45768357903395</v>
      </c>
      <c r="K115" s="79">
        <v>22.755211607426091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-878.66449662769901</v>
      </c>
      <c r="K116" s="79">
        <v>-61.085526007195391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C.3.2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2.6922405079887999</v>
      </c>
      <c r="J119" s="80">
        <v>1.5319909482766004E-4</v>
      </c>
      <c r="K119" s="80">
        <v>1.3649734808206016E-10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2.3320821761183024</v>
      </c>
      <c r="J120" s="80">
        <v>1.4434999576450286E-4</v>
      </c>
      <c r="K120" s="80">
        <v>8.2141702730971805E-11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-61.085526007195391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C.4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C.4.1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1.3643968401892375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0.4993626397773579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C.4.1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2.4780972450961722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1294.7690648871569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3.3324795353728107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2855.8233977295658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C.4.2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134791.76772904457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1.021186927405465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C.4.3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1879.1449895108371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-440.85501048916279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-356.40948613853618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-797.26449662769903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C.4.4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7.4668458779654612E-2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C.4.5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C.4.6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90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5.547016143402668E-2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0.13097732655990066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190.13344785683199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-35.601882068657829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-8.8737398424848646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3.5674561990186844E-3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-35.558145112799529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-8.8612719390215009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2.5126217846362104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1" priority="3" stopIfTrue="1" operator="between">
      <formula>0</formula>
      <formula>1</formula>
    </cfRule>
  </conditionalFormatting>
  <conditionalFormatting sqref="K94">
    <cfRule type="cellIs" dxfId="20" priority="2" stopIfTrue="1" operator="between">
      <formula>0</formula>
      <formula>1</formula>
    </cfRule>
  </conditionalFormatting>
  <conditionalFormatting sqref="K124">
    <cfRule type="cellIs" dxfId="19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81"/>
  <sheetViews>
    <sheetView showGridLines="0" zoomScaleNormal="100" workbookViewId="0">
      <pane ySplit="1" topLeftCell="A164" activePane="bottomLeft" state="frozen"/>
      <selection pane="bottomLeft" activeCell="J176" sqref="J176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20</v>
      </c>
      <c r="C1" s="56"/>
      <c r="D1" s="56"/>
      <c r="E1" s="56"/>
      <c r="F1" s="56"/>
      <c r="G1" s="56"/>
      <c r="H1" s="55"/>
      <c r="I1" s="55"/>
      <c r="J1" s="54" t="s">
        <v>19</v>
      </c>
      <c r="K1" s="53" t="s">
        <v>18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77" t="s">
        <v>17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</row>
    <row r="4" spans="1:15" s="46" customFormat="1" ht="20.100000000000001" hidden="1" customHeight="1" outlineLevel="1">
      <c r="A4" s="47" t="s">
        <v>16</v>
      </c>
      <c r="B4" s="179" t="s">
        <v>15</v>
      </c>
      <c r="C4" s="179"/>
      <c r="D4" s="179"/>
      <c r="E4" s="179"/>
      <c r="F4" s="179"/>
      <c r="G4" s="179"/>
      <c r="H4" s="47" t="s">
        <v>14</v>
      </c>
      <c r="I4" s="47" t="s">
        <v>13</v>
      </c>
      <c r="J4" s="47" t="s">
        <v>12</v>
      </c>
      <c r="K4" s="47" t="s">
        <v>11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93</v>
      </c>
      <c r="B11" s="37" t="s">
        <v>292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74" t="s">
        <v>101</v>
      </c>
      <c r="C13" s="174"/>
      <c r="D13" s="176" t="str">
        <f>Gap30deg!D13</f>
        <v>SP2200052</v>
      </c>
      <c r="E13" s="176"/>
      <c r="F13" s="176"/>
      <c r="G13" s="176"/>
      <c r="H13" s="176"/>
      <c r="I13" s="176"/>
      <c r="J13" s="176"/>
      <c r="K13" s="176"/>
      <c r="L13" s="86"/>
    </row>
    <row r="14" spans="1:15" s="85" customFormat="1" ht="20.100000000000001" customHeight="1" outlineLevel="1">
      <c r="A14" s="87"/>
      <c r="B14" s="174" t="s">
        <v>100</v>
      </c>
      <c r="C14" s="174"/>
      <c r="D14" s="176" t="str">
        <f>Gap30deg!D14</f>
        <v>Stichting GROW</v>
      </c>
      <c r="E14" s="176"/>
      <c r="F14" s="176"/>
      <c r="G14" s="176"/>
      <c r="H14" s="176"/>
      <c r="I14" s="176"/>
      <c r="J14" s="176"/>
      <c r="K14" s="176"/>
      <c r="L14" s="86"/>
    </row>
    <row r="15" spans="1:15" s="85" customFormat="1" ht="20.100000000000001" customHeight="1" outlineLevel="1">
      <c r="A15" s="87"/>
      <c r="B15" s="174" t="s">
        <v>99</v>
      </c>
      <c r="C15" s="174"/>
      <c r="D15" s="176" t="str">
        <f>Gap30deg!D15</f>
        <v>Bolt and Beautiful</v>
      </c>
      <c r="E15" s="176"/>
      <c r="F15" s="176"/>
      <c r="G15" s="176"/>
      <c r="H15" s="176"/>
      <c r="I15" s="176"/>
      <c r="J15" s="176"/>
      <c r="K15" s="176"/>
      <c r="L15" s="86"/>
    </row>
    <row r="16" spans="1:15" s="85" customFormat="1" ht="20.100000000000001" customHeight="1" outlineLevel="1">
      <c r="A16" s="87"/>
      <c r="B16" s="174" t="s">
        <v>98</v>
      </c>
      <c r="C16" s="174"/>
      <c r="D16" s="176" t="str">
        <f>Title</f>
        <v>Flange Segment Analytical Model for 120° gap size</v>
      </c>
      <c r="E16" s="176"/>
      <c r="F16" s="176"/>
      <c r="G16" s="176"/>
      <c r="H16" s="176"/>
      <c r="I16" s="176"/>
      <c r="J16" s="176"/>
      <c r="K16" s="176"/>
      <c r="L16" s="86"/>
      <c r="M16" s="88"/>
    </row>
    <row r="17" spans="1:22" s="85" customFormat="1" ht="20.100000000000001" customHeight="1" outlineLevel="1">
      <c r="A17" s="87"/>
      <c r="B17" s="174" t="s">
        <v>97</v>
      </c>
      <c r="C17" s="174"/>
      <c r="D17" s="176" t="str">
        <f>Gap30deg!D17</f>
        <v>0.10</v>
      </c>
      <c r="E17" s="176"/>
      <c r="F17" s="176"/>
      <c r="G17" s="176"/>
      <c r="H17" s="176"/>
      <c r="I17" s="176"/>
      <c r="J17" s="176"/>
      <c r="K17" s="176"/>
      <c r="L17" s="86"/>
    </row>
    <row r="18" spans="1:22" s="85" customFormat="1" ht="20.100000000000001" customHeight="1" outlineLevel="1">
      <c r="A18" s="87"/>
      <c r="B18" s="174" t="s">
        <v>96</v>
      </c>
      <c r="C18" s="174"/>
      <c r="D18" s="175">
        <f>Gap30deg!D18</f>
        <v>45432</v>
      </c>
      <c r="E18" s="175"/>
      <c r="F18" s="175"/>
      <c r="G18" s="175"/>
      <c r="H18" s="175"/>
      <c r="I18" s="175"/>
      <c r="J18" s="175"/>
      <c r="K18" s="175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D.1</v>
      </c>
      <c r="B21" s="14" t="s">
        <v>21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10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81"/>
      <c r="C28" s="182"/>
      <c r="D28" s="182"/>
      <c r="E28" s="182"/>
      <c r="F28" s="182"/>
      <c r="G28" s="182"/>
      <c r="H28" s="182"/>
      <c r="I28" s="182"/>
      <c r="J28" s="182"/>
      <c r="K28" s="183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D.1.1</v>
      </c>
      <c r="B35" s="12" t="s">
        <v>105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5</v>
      </c>
      <c r="B36" s="11" t="s">
        <v>22</v>
      </c>
      <c r="C36" s="11"/>
      <c r="D36" s="11"/>
      <c r="E36" s="11"/>
      <c r="F36" s="11"/>
      <c r="G36" s="11"/>
      <c r="H36" s="11"/>
      <c r="I36" s="10" t="s">
        <v>23</v>
      </c>
      <c r="J36" s="92">
        <v>62.5</v>
      </c>
      <c r="K36" s="93" t="s">
        <v>8</v>
      </c>
      <c r="L36" s="3"/>
    </row>
    <row r="37" spans="1:22" ht="20.100000000000001" customHeight="1" outlineLevel="1">
      <c r="A37" s="9" t="s">
        <v>4</v>
      </c>
      <c r="B37" s="8" t="s">
        <v>24</v>
      </c>
      <c r="C37" s="8"/>
      <c r="D37" s="8"/>
      <c r="E37" s="8"/>
      <c r="F37" s="8"/>
      <c r="G37" s="8"/>
      <c r="H37" s="8"/>
      <c r="I37" s="7" t="s">
        <v>25</v>
      </c>
      <c r="J37" s="62">
        <v>111</v>
      </c>
      <c r="K37" s="5" t="s">
        <v>8</v>
      </c>
      <c r="L37" s="3"/>
    </row>
    <row r="38" spans="1:22" ht="20.100000000000001" customHeight="1" outlineLevel="1">
      <c r="A38" s="9" t="s">
        <v>4</v>
      </c>
      <c r="B38" s="8" t="s">
        <v>26</v>
      </c>
      <c r="C38" s="8"/>
      <c r="D38" s="8"/>
      <c r="E38" s="8"/>
      <c r="F38" s="8"/>
      <c r="G38" s="8"/>
      <c r="H38" s="8"/>
      <c r="I38" s="7" t="s">
        <v>27</v>
      </c>
      <c r="J38" s="62">
        <v>90</v>
      </c>
      <c r="K38" s="5" t="s">
        <v>8</v>
      </c>
      <c r="L38" s="3"/>
    </row>
    <row r="39" spans="1:22" ht="20.100000000000001" customHeight="1" outlineLevel="1">
      <c r="A39" s="9" t="s">
        <v>3</v>
      </c>
      <c r="B39" s="8" t="s">
        <v>28</v>
      </c>
      <c r="C39" s="8"/>
      <c r="D39" s="8"/>
      <c r="E39" s="8"/>
      <c r="F39" s="8"/>
      <c r="G39" s="8"/>
      <c r="H39" s="8"/>
      <c r="I39" s="7" t="s">
        <v>29</v>
      </c>
      <c r="J39" s="62">
        <v>120</v>
      </c>
      <c r="K39" s="5" t="s">
        <v>8</v>
      </c>
      <c r="L39" s="3"/>
    </row>
    <row r="40" spans="1:22" ht="20.100000000000001" customHeight="1" outlineLevel="1">
      <c r="A40" s="9" t="s">
        <v>7</v>
      </c>
      <c r="B40" s="8" t="s">
        <v>300</v>
      </c>
      <c r="C40" s="8"/>
      <c r="D40" s="8"/>
      <c r="E40" s="8"/>
      <c r="F40" s="8"/>
      <c r="G40" s="8"/>
      <c r="H40" s="8"/>
      <c r="I40" s="7" t="s">
        <v>301</v>
      </c>
      <c r="J40" s="62">
        <v>1.8</v>
      </c>
      <c r="K40" s="5" t="s">
        <v>216</v>
      </c>
      <c r="L40" s="3"/>
    </row>
    <row r="41" spans="1:22" ht="20.100000000000001" customHeight="1" outlineLevel="1">
      <c r="A41" s="9" t="s">
        <v>6</v>
      </c>
      <c r="B41" s="8" t="s">
        <v>295</v>
      </c>
      <c r="C41" s="8"/>
      <c r="D41" s="8"/>
      <c r="E41" s="8"/>
      <c r="F41" s="8"/>
      <c r="G41" s="8"/>
      <c r="H41" s="8"/>
      <c r="I41" s="7" t="s">
        <v>31</v>
      </c>
      <c r="J41" s="62">
        <v>3750</v>
      </c>
      <c r="K41" s="5" t="s">
        <v>8</v>
      </c>
      <c r="L41" s="3"/>
    </row>
    <row r="42" spans="1:22" ht="20.100000000000001" customHeight="1" outlineLevel="1">
      <c r="A42" s="9" t="s">
        <v>32</v>
      </c>
      <c r="B42" s="17" t="s">
        <v>324</v>
      </c>
      <c r="C42" s="17"/>
      <c r="D42" s="17"/>
      <c r="E42" s="17"/>
      <c r="F42" s="17"/>
      <c r="G42" s="17"/>
      <c r="H42" s="17"/>
      <c r="I42" s="16" t="s">
        <v>33</v>
      </c>
      <c r="J42" s="64">
        <v>-81.400000000000006</v>
      </c>
      <c r="K42" s="15" t="s">
        <v>9</v>
      </c>
      <c r="L42" s="3"/>
    </row>
    <row r="43" spans="1:22" ht="20.100000000000001" customHeight="1" outlineLevel="1">
      <c r="A43" s="9" t="s">
        <v>35</v>
      </c>
      <c r="B43" s="17" t="s">
        <v>51</v>
      </c>
      <c r="C43" s="17"/>
      <c r="D43" s="17"/>
      <c r="E43" s="17"/>
      <c r="F43" s="17"/>
      <c r="G43" s="17"/>
      <c r="H43" s="17"/>
      <c r="I43" s="16" t="s">
        <v>53</v>
      </c>
      <c r="J43" s="64">
        <v>210</v>
      </c>
      <c r="K43" s="15" t="s">
        <v>55</v>
      </c>
      <c r="L43" s="3"/>
    </row>
    <row r="44" spans="1:22" ht="20.100000000000001" customHeight="1" outlineLevel="1">
      <c r="A44" s="9" t="s">
        <v>36</v>
      </c>
      <c r="B44" s="8" t="s">
        <v>52</v>
      </c>
      <c r="C44" s="8"/>
      <c r="D44" s="8"/>
      <c r="E44" s="8"/>
      <c r="F44" s="8"/>
      <c r="G44" s="8"/>
      <c r="H44" s="8"/>
      <c r="I44" s="7" t="s">
        <v>54</v>
      </c>
      <c r="J44" s="62">
        <v>80.77</v>
      </c>
      <c r="K44" s="5" t="s">
        <v>55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D.1.2</v>
      </c>
      <c r="B46" s="12" t="s">
        <v>106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5</v>
      </c>
      <c r="B47" s="8" t="s">
        <v>108</v>
      </c>
      <c r="C47" s="8"/>
      <c r="D47" s="8"/>
      <c r="E47" s="8"/>
      <c r="F47" s="8"/>
      <c r="G47" s="8"/>
      <c r="H47" s="8"/>
      <c r="I47" s="7"/>
      <c r="J47" s="61" t="s">
        <v>347</v>
      </c>
      <c r="K47" s="5"/>
      <c r="L47" s="3"/>
    </row>
    <row r="48" spans="1:22" ht="20.100000000000001" customHeight="1" outlineLevel="1">
      <c r="A48" s="9" t="s">
        <v>4</v>
      </c>
      <c r="B48" s="8" t="s">
        <v>108</v>
      </c>
      <c r="C48" s="8"/>
      <c r="D48" s="8"/>
      <c r="E48" s="8"/>
      <c r="F48" s="8"/>
      <c r="G48" s="8"/>
      <c r="H48" s="8"/>
      <c r="I48" s="7" t="s">
        <v>111</v>
      </c>
      <c r="J48" s="61">
        <v>48</v>
      </c>
      <c r="K48" s="5" t="s">
        <v>8</v>
      </c>
      <c r="L48" s="3"/>
    </row>
    <row r="49" spans="1:12" ht="20.100000000000001" customHeight="1" outlineLevel="1">
      <c r="A49" s="9" t="s">
        <v>3</v>
      </c>
      <c r="B49" s="8" t="s">
        <v>109</v>
      </c>
      <c r="C49" s="8"/>
      <c r="D49" s="8"/>
      <c r="E49" s="8"/>
      <c r="F49" s="8"/>
      <c r="G49" s="8"/>
      <c r="H49" s="8"/>
      <c r="I49" s="7" t="s">
        <v>112</v>
      </c>
      <c r="J49" s="61">
        <v>44.752000000000002</v>
      </c>
      <c r="K49" s="5" t="s">
        <v>8</v>
      </c>
      <c r="L49" s="3"/>
    </row>
    <row r="50" spans="1:12" ht="20.100000000000001" customHeight="1" outlineLevel="1">
      <c r="A50" s="9" t="s">
        <v>7</v>
      </c>
      <c r="B50" s="8" t="s">
        <v>110</v>
      </c>
      <c r="C50" s="8"/>
      <c r="D50" s="8"/>
      <c r="E50" s="8"/>
      <c r="F50" s="8"/>
      <c r="G50" s="8"/>
      <c r="H50" s="8"/>
      <c r="I50" s="7" t="s">
        <v>113</v>
      </c>
      <c r="J50" s="61">
        <v>0.15</v>
      </c>
      <c r="K50" s="5" t="s">
        <v>8</v>
      </c>
      <c r="L50" s="3"/>
    </row>
    <row r="51" spans="1:12" ht="20.100000000000001" customHeight="1" outlineLevel="1">
      <c r="A51" s="9" t="s">
        <v>6</v>
      </c>
      <c r="B51" s="8" t="s">
        <v>39</v>
      </c>
      <c r="C51" s="8"/>
      <c r="D51" s="8"/>
      <c r="E51" s="8"/>
      <c r="F51" s="8"/>
      <c r="G51" s="8"/>
      <c r="H51" s="8"/>
      <c r="I51" s="7" t="s">
        <v>41</v>
      </c>
      <c r="J51" s="61">
        <v>5</v>
      </c>
      <c r="K51" s="5" t="s">
        <v>8</v>
      </c>
      <c r="L51" s="3"/>
    </row>
    <row r="52" spans="1:12" ht="20.100000000000001" customHeight="1" outlineLevel="1">
      <c r="A52" s="9" t="s">
        <v>32</v>
      </c>
      <c r="B52" s="8" t="s">
        <v>114</v>
      </c>
      <c r="C52" s="8"/>
      <c r="D52" s="8"/>
      <c r="E52" s="8"/>
      <c r="F52" s="8"/>
      <c r="G52" s="8"/>
      <c r="H52" s="8"/>
      <c r="I52" s="7" t="s">
        <v>116</v>
      </c>
      <c r="J52" s="61">
        <v>900</v>
      </c>
      <c r="K52" s="15" t="s">
        <v>95</v>
      </c>
      <c r="L52" s="3"/>
    </row>
    <row r="53" spans="1:12" ht="20.100000000000001" customHeight="1" outlineLevel="1">
      <c r="A53" s="9" t="s">
        <v>35</v>
      </c>
      <c r="B53" s="17" t="s">
        <v>115</v>
      </c>
      <c r="C53" s="17"/>
      <c r="D53" s="17"/>
      <c r="E53" s="17"/>
      <c r="F53" s="17"/>
      <c r="G53" s="17"/>
      <c r="H53" s="17"/>
      <c r="I53" s="16" t="s">
        <v>117</v>
      </c>
      <c r="J53" s="65">
        <v>1000</v>
      </c>
      <c r="K53" s="15" t="s">
        <v>95</v>
      </c>
      <c r="L53" s="3"/>
    </row>
    <row r="54" spans="1:12" ht="20.100000000000001" customHeight="1" outlineLevel="1">
      <c r="A54" s="9" t="s">
        <v>36</v>
      </c>
      <c r="B54" s="17" t="s">
        <v>118</v>
      </c>
      <c r="C54" s="17"/>
      <c r="D54" s="17"/>
      <c r="E54" s="17"/>
      <c r="F54" s="17"/>
      <c r="G54" s="17"/>
      <c r="H54" s="17"/>
      <c r="I54" s="16" t="s">
        <v>53</v>
      </c>
      <c r="J54" s="65">
        <v>210</v>
      </c>
      <c r="K54" s="15" t="s">
        <v>55</v>
      </c>
      <c r="L54" s="3"/>
    </row>
    <row r="55" spans="1:12" ht="20.100000000000001" customHeight="1" outlineLevel="1">
      <c r="A55" s="9" t="s">
        <v>37</v>
      </c>
      <c r="B55" s="17" t="s">
        <v>34</v>
      </c>
      <c r="C55" s="17"/>
      <c r="D55" s="17"/>
      <c r="E55" s="17"/>
      <c r="F55" s="17"/>
      <c r="G55" s="17"/>
      <c r="H55" s="17"/>
      <c r="I55" s="16" t="s">
        <v>38</v>
      </c>
      <c r="J55" s="65">
        <v>928</v>
      </c>
      <c r="K55" s="15" t="s">
        <v>9</v>
      </c>
      <c r="L55" s="3"/>
    </row>
    <row r="56" spans="1:12" ht="20.100000000000001" customHeight="1" outlineLevel="1">
      <c r="A56" s="9" t="s">
        <v>40</v>
      </c>
      <c r="B56" s="8" t="s">
        <v>42</v>
      </c>
      <c r="C56" s="8"/>
      <c r="D56" s="8"/>
      <c r="E56" s="8"/>
      <c r="F56" s="8"/>
      <c r="G56" s="8"/>
      <c r="H56" s="8"/>
      <c r="I56" s="7" t="s">
        <v>48</v>
      </c>
      <c r="J56" s="62">
        <v>52</v>
      </c>
      <c r="K56" s="5" t="s">
        <v>8</v>
      </c>
      <c r="L56" s="3"/>
    </row>
    <row r="57" spans="1:12" ht="20.100000000000001" customHeight="1" outlineLevel="1">
      <c r="A57" s="9" t="s">
        <v>50</v>
      </c>
      <c r="B57" s="8" t="s">
        <v>43</v>
      </c>
      <c r="C57" s="8"/>
      <c r="D57" s="8"/>
      <c r="E57" s="8"/>
      <c r="F57" s="8"/>
      <c r="G57" s="8"/>
      <c r="H57" s="8"/>
      <c r="I57" s="7" t="s">
        <v>49</v>
      </c>
      <c r="J57" s="62">
        <v>92</v>
      </c>
      <c r="K57" s="5" t="s">
        <v>8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D.1.3</v>
      </c>
      <c r="B59" s="12" t="s">
        <v>107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5</v>
      </c>
      <c r="B60" s="11" t="s">
        <v>44</v>
      </c>
      <c r="C60" s="11"/>
      <c r="D60" s="11"/>
      <c r="E60" s="11"/>
      <c r="F60" s="11"/>
      <c r="G60" s="11"/>
      <c r="H60" s="11"/>
      <c r="I60" s="10" t="s">
        <v>47</v>
      </c>
      <c r="J60" s="97">
        <v>3.9552630780086138</v>
      </c>
      <c r="K60" s="93" t="s">
        <v>8</v>
      </c>
      <c r="L60" s="3"/>
    </row>
    <row r="61" spans="1:12" ht="20.100000000000001" customHeight="1" outlineLevel="1">
      <c r="A61" s="9" t="s">
        <v>4</v>
      </c>
      <c r="B61" s="8" t="s">
        <v>45</v>
      </c>
      <c r="C61" s="8"/>
      <c r="D61" s="8"/>
      <c r="E61" s="8"/>
      <c r="F61" s="8"/>
      <c r="G61" s="8"/>
      <c r="H61" s="8"/>
      <c r="I61" s="7" t="s">
        <v>46</v>
      </c>
      <c r="J61" s="98">
        <v>7853.9816339744821</v>
      </c>
      <c r="K61" s="5" t="s">
        <v>8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D.2</v>
      </c>
      <c r="B64" s="14" t="s">
        <v>56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119</v>
      </c>
      <c r="O66" s="71">
        <v>-907.73286886640528</v>
      </c>
      <c r="P66" s="71">
        <v>-882.04204716416371</v>
      </c>
      <c r="Q66" s="71">
        <v>-856.35122546192213</v>
      </c>
      <c r="R66" s="71">
        <v>-830.66040375968043</v>
      </c>
      <c r="S66" s="71">
        <v>-804.96958205743874</v>
      </c>
      <c r="T66" s="71">
        <v>-779.27876035519716</v>
      </c>
      <c r="U66" s="71">
        <v>-753.58793865295547</v>
      </c>
      <c r="V66" s="71">
        <v>-727.89711695071389</v>
      </c>
      <c r="W66" s="71">
        <v>-702.2062952484722</v>
      </c>
      <c r="X66" s="71">
        <v>-676.51547354623062</v>
      </c>
      <c r="Y66" s="71">
        <v>-650.82465184398905</v>
      </c>
      <c r="Z66" s="71">
        <v>-625.13383014174735</v>
      </c>
      <c r="AA66" s="71">
        <v>-599.44300843950566</v>
      </c>
      <c r="AB66" s="71">
        <v>-573.75218673726408</v>
      </c>
      <c r="AC66" s="71">
        <v>-548.06136503502239</v>
      </c>
      <c r="AD66" s="71">
        <v>-522.37054333278081</v>
      </c>
      <c r="AE66" s="71">
        <v>-496.67972163053918</v>
      </c>
      <c r="AF66" s="71">
        <v>-470.98889992829749</v>
      </c>
      <c r="AG66" s="71">
        <v>-445.29807822605591</v>
      </c>
      <c r="AH66" s="71">
        <v>-419.60725652381427</v>
      </c>
      <c r="AI66" s="71">
        <v>-393.91643482157264</v>
      </c>
      <c r="AJ66" s="71">
        <v>-368.22561311933094</v>
      </c>
      <c r="AK66" s="71">
        <v>-342.53479141708942</v>
      </c>
      <c r="AL66" s="71">
        <v>-316.84396971484773</v>
      </c>
      <c r="AM66" s="71">
        <v>-291.1531480126061</v>
      </c>
      <c r="AN66" s="71">
        <v>-265.4623263103644</v>
      </c>
      <c r="AO66" s="71">
        <v>-239.77150460812274</v>
      </c>
      <c r="AP66" s="71">
        <v>-214.08068290588119</v>
      </c>
      <c r="AQ66" s="71">
        <v>-188.38986120363953</v>
      </c>
      <c r="AR66" s="71">
        <v>-162.69903950139786</v>
      </c>
      <c r="AS66" s="71">
        <v>-137.00821779915631</v>
      </c>
      <c r="AT66" s="71">
        <v>-111.31739609691466</v>
      </c>
      <c r="AU66" s="71">
        <v>-85.626574394672986</v>
      </c>
      <c r="AV66" s="71">
        <v>-59.935752692431329</v>
      </c>
      <c r="AW66" s="71">
        <v>-34.244930990189665</v>
      </c>
      <c r="AX66" s="71">
        <v>-8.5541092879481155</v>
      </c>
      <c r="AY66" s="71">
        <v>17.136712414293552</v>
      </c>
      <c r="AZ66" s="71">
        <v>42.827534116535212</v>
      </c>
      <c r="BA66" s="71">
        <v>68.518355818776769</v>
      </c>
      <c r="BB66" s="71">
        <v>94.209177521018432</v>
      </c>
      <c r="BC66" s="71">
        <v>119.8999992232601</v>
      </c>
      <c r="BD66" s="71">
        <v>145.59082092550176</v>
      </c>
      <c r="BE66" s="71">
        <v>171.28164262774342</v>
      </c>
      <c r="BF66" s="71">
        <v>196.97246432998509</v>
      </c>
      <c r="BG66" s="71">
        <v>222.66328603222652</v>
      </c>
      <c r="BH66" s="71">
        <v>248.35410773446819</v>
      </c>
      <c r="BI66" s="71">
        <v>274.04492943670982</v>
      </c>
      <c r="BJ66" s="71">
        <v>299.73575113895151</v>
      </c>
      <c r="BK66" s="71">
        <v>325.42657284119321</v>
      </c>
      <c r="BL66" s="71">
        <v>351.11739454343484</v>
      </c>
      <c r="BM66" s="71">
        <v>376.80821624567653</v>
      </c>
      <c r="BN66" s="71">
        <v>402.49903794791817</v>
      </c>
      <c r="BO66" s="71">
        <v>428.18985965015986</v>
      </c>
      <c r="BP66" s="71">
        <v>453.88068135240127</v>
      </c>
      <c r="BQ66" s="71">
        <v>479.57150305464296</v>
      </c>
      <c r="BR66" s="71">
        <v>505.2623247568846</v>
      </c>
      <c r="BS66" s="71">
        <v>530.95314645912629</v>
      </c>
      <c r="BT66" s="71">
        <v>556.64396816136798</v>
      </c>
      <c r="BU66" s="71">
        <v>582.33478986360956</v>
      </c>
      <c r="BV66" s="71">
        <v>608.02561156585125</v>
      </c>
      <c r="BW66" s="71">
        <v>633.71643326809271</v>
      </c>
      <c r="BX66" s="71">
        <v>659.40725497033441</v>
      </c>
      <c r="BY66" s="71">
        <v>685.09807667257598</v>
      </c>
      <c r="BZ66" s="71">
        <v>710.78889837481768</v>
      </c>
      <c r="CA66" s="71">
        <v>736.47972007705937</v>
      </c>
      <c r="CB66" s="71">
        <v>762.17054177930106</v>
      </c>
      <c r="CC66" s="71">
        <v>787.86136348154264</v>
      </c>
      <c r="CD66" s="71">
        <v>813.55218518378433</v>
      </c>
      <c r="CE66" s="71">
        <v>839.24300688602602</v>
      </c>
      <c r="CF66" s="71">
        <v>864.93382858826749</v>
      </c>
      <c r="CG66" s="71">
        <v>890.62465029050907</v>
      </c>
      <c r="CH66" s="71">
        <v>916.31547199275076</v>
      </c>
      <c r="CI66" s="71">
        <v>942.00629369499245</v>
      </c>
      <c r="CJ66" s="71">
        <v>967.69711539723414</v>
      </c>
      <c r="CK66" s="71">
        <v>993.38793709947572</v>
      </c>
      <c r="CL66" s="71">
        <v>1019.0787588017174</v>
      </c>
      <c r="CM66" s="71">
        <v>1044.7695805039589</v>
      </c>
      <c r="CN66" s="71">
        <v>1070.4604022062006</v>
      </c>
      <c r="CO66" s="71">
        <v>1096.151223908442</v>
      </c>
      <c r="CP66" s="71">
        <v>1121.842045610684</v>
      </c>
      <c r="CQ66" s="71">
        <v>1147.5328673129254</v>
      </c>
      <c r="CR66" s="71">
        <v>1173.2236890151673</v>
      </c>
      <c r="CS66" s="71">
        <v>1198.9145107174088</v>
      </c>
      <c r="CT66" s="71">
        <v>1224.6053324196503</v>
      </c>
      <c r="CU66" s="71">
        <v>1250.296154121892</v>
      </c>
      <c r="CV66" s="71">
        <v>1275.9869758241334</v>
      </c>
      <c r="CW66" s="71">
        <v>1301.6777975263753</v>
      </c>
      <c r="CX66" s="71">
        <v>1327.3686192286168</v>
      </c>
      <c r="CY66" s="71">
        <v>1353.0594409308583</v>
      </c>
      <c r="CZ66" s="71">
        <v>1378.7502626331002</v>
      </c>
      <c r="DA66" s="71">
        <v>1404.4410843353417</v>
      </c>
      <c r="DB66" s="71">
        <v>1430.1319060375836</v>
      </c>
      <c r="DC66" s="71">
        <v>1455.8227277398248</v>
      </c>
      <c r="DD66" s="71">
        <v>1481.5135494420667</v>
      </c>
      <c r="DE66" s="71">
        <v>1507.2043711443082</v>
      </c>
      <c r="DF66" s="71">
        <v>1532.8951928465501</v>
      </c>
      <c r="DG66" s="71">
        <v>1558.5860145487916</v>
      </c>
      <c r="DH66" s="71">
        <v>1584.276836251033</v>
      </c>
      <c r="DI66" s="71">
        <v>1609.967657953275</v>
      </c>
      <c r="DJ66" s="71">
        <v>1635.6584796555164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120</v>
      </c>
      <c r="O67" s="71">
        <v>906.79971346907462</v>
      </c>
      <c r="P67" s="71">
        <v>906.79971346907462</v>
      </c>
      <c r="Q67" s="71">
        <v>906.80201322644598</v>
      </c>
      <c r="R67" s="71">
        <v>906.83931770628965</v>
      </c>
      <c r="S67" s="71">
        <v>906.92225580977674</v>
      </c>
      <c r="T67" s="71">
        <v>907.05082753690726</v>
      </c>
      <c r="U67" s="71">
        <v>907.22503288768121</v>
      </c>
      <c r="V67" s="71">
        <v>907.44487186209858</v>
      </c>
      <c r="W67" s="71">
        <v>907.71034446015926</v>
      </c>
      <c r="X67" s="71">
        <v>908.02145068186348</v>
      </c>
      <c r="Y67" s="71">
        <v>908.37819052721113</v>
      </c>
      <c r="Z67" s="71">
        <v>908.7805639962022</v>
      </c>
      <c r="AA67" s="71">
        <v>909.22857108883659</v>
      </c>
      <c r="AB67" s="71">
        <v>909.72221180511451</v>
      </c>
      <c r="AC67" s="71">
        <v>910.26148614503586</v>
      </c>
      <c r="AD67" s="71">
        <v>910.84639410860052</v>
      </c>
      <c r="AE67" s="71">
        <v>911.47693569580872</v>
      </c>
      <c r="AF67" s="71">
        <v>912.15311090666034</v>
      </c>
      <c r="AG67" s="71">
        <v>912.87491974115528</v>
      </c>
      <c r="AH67" s="71">
        <v>913.64236219929364</v>
      </c>
      <c r="AI67" s="71">
        <v>914.45543828107554</v>
      </c>
      <c r="AJ67" s="71">
        <v>915.31414798650076</v>
      </c>
      <c r="AK67" s="71">
        <v>916.21849131556951</v>
      </c>
      <c r="AL67" s="71">
        <v>917.16846826828157</v>
      </c>
      <c r="AM67" s="71">
        <v>918.16407884463706</v>
      </c>
      <c r="AN67" s="71">
        <v>919.20532304463609</v>
      </c>
      <c r="AO67" s="71">
        <v>920.29220086827843</v>
      </c>
      <c r="AP67" s="71">
        <v>921.42471231556419</v>
      </c>
      <c r="AQ67" s="71">
        <v>922.60285738649338</v>
      </c>
      <c r="AR67" s="71">
        <v>923.826636081066</v>
      </c>
      <c r="AS67" s="71">
        <v>925.09604839928204</v>
      </c>
      <c r="AT67" s="71">
        <v>926.41109434114151</v>
      </c>
      <c r="AU67" s="71">
        <v>927.7717739066444</v>
      </c>
      <c r="AV67" s="71">
        <v>929.20661312714253</v>
      </c>
      <c r="AW67" s="71">
        <v>930.76771262157172</v>
      </c>
      <c r="AX67" s="71">
        <v>932.45617847126618</v>
      </c>
      <c r="AY67" s="71">
        <v>934.27201067622593</v>
      </c>
      <c r="AZ67" s="71">
        <v>936.21520923645096</v>
      </c>
      <c r="BA67" s="71">
        <v>938.28577415194115</v>
      </c>
      <c r="BB67" s="71">
        <v>940.48370542269663</v>
      </c>
      <c r="BC67" s="71">
        <v>942.80900304871739</v>
      </c>
      <c r="BD67" s="71">
        <v>945.26166703000342</v>
      </c>
      <c r="BE67" s="71">
        <v>947.84169736655474</v>
      </c>
      <c r="BF67" s="71">
        <v>950.54909405837122</v>
      </c>
      <c r="BG67" s="71">
        <v>953.38385710545299</v>
      </c>
      <c r="BH67" s="71">
        <v>956.34598650780003</v>
      </c>
      <c r="BI67" s="71">
        <v>959.43548226541247</v>
      </c>
      <c r="BJ67" s="71">
        <v>962.65234437828997</v>
      </c>
      <c r="BK67" s="71">
        <v>965.99657284643297</v>
      </c>
      <c r="BL67" s="71">
        <v>969.46816766984102</v>
      </c>
      <c r="BM67" s="71">
        <v>973.06712884851424</v>
      </c>
      <c r="BN67" s="71">
        <v>976.79345638245297</v>
      </c>
      <c r="BO67" s="71">
        <v>980.64715027165676</v>
      </c>
      <c r="BP67" s="71">
        <v>984.62821051612593</v>
      </c>
      <c r="BQ67" s="71">
        <v>988.73663711586039</v>
      </c>
      <c r="BR67" s="71">
        <v>992.97243007086001</v>
      </c>
      <c r="BS67" s="71">
        <v>997.33558938112492</v>
      </c>
      <c r="BT67" s="71">
        <v>1001.8261150466551</v>
      </c>
      <c r="BU67" s="71">
        <v>1006.4440070674506</v>
      </c>
      <c r="BV67" s="71">
        <v>1011.1892654435112</v>
      </c>
      <c r="BW67" s="71">
        <v>1016.0618901748371</v>
      </c>
      <c r="BX67" s="71">
        <v>1021.0618812614283</v>
      </c>
      <c r="BY67" s="71">
        <v>1026.1892387032849</v>
      </c>
      <c r="BZ67" s="71">
        <v>1031.4439625004065</v>
      </c>
      <c r="CA67" s="71">
        <v>1036.8260526527936</v>
      </c>
      <c r="CB67" s="71">
        <v>1042.3355091604458</v>
      </c>
      <c r="CC67" s="71">
        <v>1047.9723320233634</v>
      </c>
      <c r="CD67" s="71">
        <v>1053.7365212415461</v>
      </c>
      <c r="CE67" s="71">
        <v>1059.6280768149943</v>
      </c>
      <c r="CF67" s="71">
        <v>1065.6469987437074</v>
      </c>
      <c r="CG67" s="71">
        <v>1071.7932870276859</v>
      </c>
      <c r="CH67" s="71">
        <v>1078.0669416669298</v>
      </c>
      <c r="CI67" s="71">
        <v>1084.4679626614388</v>
      </c>
      <c r="CJ67" s="71">
        <v>1090.9963500112133</v>
      </c>
      <c r="CK67" s="71">
        <v>1097.6521037162529</v>
      </c>
      <c r="CL67" s="71">
        <v>1104.4352237765575</v>
      </c>
      <c r="CM67" s="71">
        <v>1111.3457101921276</v>
      </c>
      <c r="CN67" s="71">
        <v>1118.383562962963</v>
      </c>
      <c r="CO67" s="71">
        <v>1125.5487820890637</v>
      </c>
      <c r="CP67" s="71">
        <v>1132.8413675704296</v>
      </c>
      <c r="CQ67" s="71">
        <v>1140.2613194070607</v>
      </c>
      <c r="CR67" s="71">
        <v>1147.8086375989571</v>
      </c>
      <c r="CS67" s="71">
        <v>1155.4833221461186</v>
      </c>
      <c r="CT67" s="71">
        <v>1163.2853730485456</v>
      </c>
      <c r="CU67" s="71">
        <v>1171.2147903062378</v>
      </c>
      <c r="CV67" s="71">
        <v>1179.2715739191951</v>
      </c>
      <c r="CW67" s="71">
        <v>1187.4557238874179</v>
      </c>
      <c r="CX67" s="71">
        <v>1195.7672402109058</v>
      </c>
      <c r="CY67" s="71">
        <v>1204.2061228896591</v>
      </c>
      <c r="CZ67" s="71">
        <v>1212.7723719236776</v>
      </c>
      <c r="DA67" s="71">
        <v>1221.4659873129613</v>
      </c>
      <c r="DB67" s="71">
        <v>1230.2869690575103</v>
      </c>
      <c r="DC67" s="71">
        <v>1239.2353171573245</v>
      </c>
      <c r="DD67" s="71">
        <v>1248.3110316124041</v>
      </c>
      <c r="DE67" s="71">
        <v>1257.5141124227489</v>
      </c>
      <c r="DF67" s="71">
        <v>1266.8445595883591</v>
      </c>
      <c r="DG67" s="71">
        <v>1276.3023731092342</v>
      </c>
      <c r="DH67" s="71">
        <v>1285.8875529853749</v>
      </c>
      <c r="DI67" s="71">
        <v>1295.6000992167806</v>
      </c>
      <c r="DJ67" s="71">
        <v>1305.4400118034514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57</v>
      </c>
      <c r="O68" s="71">
        <v>-59.416005440501245</v>
      </c>
      <c r="P68" s="71">
        <v>-59.416005440501245</v>
      </c>
      <c r="Q68" s="71">
        <v>-59.410513057827991</v>
      </c>
      <c r="R68" s="71">
        <v>-59.321420842589454</v>
      </c>
      <c r="S68" s="71">
        <v>-59.123344381040766</v>
      </c>
      <c r="T68" s="71">
        <v>-58.81628367318195</v>
      </c>
      <c r="U68" s="71">
        <v>-58.400238719012989</v>
      </c>
      <c r="V68" s="71">
        <v>-57.875209518533886</v>
      </c>
      <c r="W68" s="71">
        <v>-57.241196071744646</v>
      </c>
      <c r="X68" s="71">
        <v>-56.498198378645263</v>
      </c>
      <c r="Y68" s="71">
        <v>-55.646216439235751</v>
      </c>
      <c r="Z68" s="71">
        <v>-54.685250253516081</v>
      </c>
      <c r="AA68" s="71">
        <v>-53.615299821486282</v>
      </c>
      <c r="AB68" s="71">
        <v>-52.436365143146332</v>
      </c>
      <c r="AC68" s="71">
        <v>-51.148446218496247</v>
      </c>
      <c r="AD68" s="71">
        <v>-49.751543047536011</v>
      </c>
      <c r="AE68" s="71">
        <v>-48.245655630265645</v>
      </c>
      <c r="AF68" s="71">
        <v>-46.630783966685136</v>
      </c>
      <c r="AG68" s="71">
        <v>-44.906928056794492</v>
      </c>
      <c r="AH68" s="71">
        <v>-43.074087900593703</v>
      </c>
      <c r="AI68" s="71">
        <v>-41.132263498082771</v>
      </c>
      <c r="AJ68" s="71">
        <v>-39.081454849261696</v>
      </c>
      <c r="AK68" s="71">
        <v>-36.921661954130485</v>
      </c>
      <c r="AL68" s="71">
        <v>-34.65288481268913</v>
      </c>
      <c r="AM68" s="71">
        <v>-32.27512342493764</v>
      </c>
      <c r="AN68" s="71">
        <v>-29.788377790875998</v>
      </c>
      <c r="AO68" s="71">
        <v>-27.19264791050422</v>
      </c>
      <c r="AP68" s="71">
        <v>-24.487933783822321</v>
      </c>
      <c r="AQ68" s="71">
        <v>-21.674235410830256</v>
      </c>
      <c r="AR68" s="71">
        <v>-18.751552791528056</v>
      </c>
      <c r="AS68" s="71">
        <v>-15.719885925915728</v>
      </c>
      <c r="AT68" s="71">
        <v>-12.579234813993244</v>
      </c>
      <c r="AU68" s="71">
        <v>-9.3295994557606203</v>
      </c>
      <c r="AV68" s="71">
        <v>-5.945508353099914</v>
      </c>
      <c r="AW68" s="71">
        <v>-2.3804397588814319</v>
      </c>
      <c r="AX68" s="71">
        <v>1.3665939703659857</v>
      </c>
      <c r="AY68" s="71">
        <v>5.2955928346423722</v>
      </c>
      <c r="AZ68" s="71">
        <v>9.406556833947711</v>
      </c>
      <c r="BA68" s="71">
        <v>13.699485968281982</v>
      </c>
      <c r="BB68" s="71">
        <v>18.174380237645224</v>
      </c>
      <c r="BC68" s="71">
        <v>22.831239642037421</v>
      </c>
      <c r="BD68" s="71">
        <v>27.670064181458571</v>
      </c>
      <c r="BE68" s="71">
        <v>32.690853855908664</v>
      </c>
      <c r="BF68" s="71">
        <v>37.893608665387717</v>
      </c>
      <c r="BG68" s="71">
        <v>43.278328609895667</v>
      </c>
      <c r="BH68" s="71">
        <v>48.845013689432626</v>
      </c>
      <c r="BI68" s="71">
        <v>54.593663903998525</v>
      </c>
      <c r="BJ68" s="71">
        <v>60.524279253593392</v>
      </c>
      <c r="BK68" s="71">
        <v>66.636859738217211</v>
      </c>
      <c r="BL68" s="71">
        <v>72.931405357869977</v>
      </c>
      <c r="BM68" s="71">
        <v>79.407916112551689</v>
      </c>
      <c r="BN68" s="71">
        <v>86.066392002262347</v>
      </c>
      <c r="BO68" s="71">
        <v>92.90683302700198</v>
      </c>
      <c r="BP68" s="71">
        <v>99.929239186770488</v>
      </c>
      <c r="BQ68" s="71">
        <v>107.13361048156801</v>
      </c>
      <c r="BR68" s="71">
        <v>114.51994691139448</v>
      </c>
      <c r="BS68" s="71">
        <v>122.08824847624993</v>
      </c>
      <c r="BT68" s="71">
        <v>129.83851517613428</v>
      </c>
      <c r="BU68" s="71">
        <v>137.7707470110476</v>
      </c>
      <c r="BV68" s="71">
        <v>145.8849439809899</v>
      </c>
      <c r="BW68" s="71">
        <v>154.18110608596106</v>
      </c>
      <c r="BX68" s="71">
        <v>162.65923332596125</v>
      </c>
      <c r="BY68" s="71">
        <v>171.31932570099039</v>
      </c>
      <c r="BZ68" s="71">
        <v>180.1613832110485</v>
      </c>
      <c r="CA68" s="71">
        <v>189.18540585613556</v>
      </c>
      <c r="CB68" s="71">
        <v>198.39139363625151</v>
      </c>
      <c r="CC68" s="71">
        <v>207.77934655139649</v>
      </c>
      <c r="CD68" s="71">
        <v>217.34926460157038</v>
      </c>
      <c r="CE68" s="71">
        <v>227.10114778677325</v>
      </c>
      <c r="CF68" s="71">
        <v>237.03499610700496</v>
      </c>
      <c r="CG68" s="71">
        <v>247.15080956226572</v>
      </c>
      <c r="CH68" s="71">
        <v>257.44858815255543</v>
      </c>
      <c r="CI68" s="71">
        <v>267.92833187787414</v>
      </c>
      <c r="CJ68" s="71">
        <v>278.59004073822172</v>
      </c>
      <c r="CK68" s="71">
        <v>289.43371473359826</v>
      </c>
      <c r="CL68" s="71">
        <v>300.45935386400384</v>
      </c>
      <c r="CM68" s="71">
        <v>311.66695812943817</v>
      </c>
      <c r="CN68" s="71">
        <v>323.05652752990164</v>
      </c>
      <c r="CO68" s="71">
        <v>334.62806206539398</v>
      </c>
      <c r="CP68" s="71">
        <v>346.3815617359154</v>
      </c>
      <c r="CQ68" s="71">
        <v>358.31702654146551</v>
      </c>
      <c r="CR68" s="71">
        <v>370.43445648204494</v>
      </c>
      <c r="CS68" s="71">
        <v>382.73385155765288</v>
      </c>
      <c r="CT68" s="71">
        <v>395.21521176828998</v>
      </c>
      <c r="CU68" s="71">
        <v>407.87853711395616</v>
      </c>
      <c r="CV68" s="71">
        <v>420.72382759465114</v>
      </c>
      <c r="CW68" s="71">
        <v>433.75108321037521</v>
      </c>
      <c r="CX68" s="71">
        <v>446.96030396112803</v>
      </c>
      <c r="CY68" s="71">
        <v>460.35148984690977</v>
      </c>
      <c r="CZ68" s="71">
        <v>473.92464086772071</v>
      </c>
      <c r="DA68" s="71">
        <v>487.67975702356046</v>
      </c>
      <c r="DB68" s="71">
        <v>501.61683831442929</v>
      </c>
      <c r="DC68" s="71">
        <v>515.73588474032692</v>
      </c>
      <c r="DD68" s="71">
        <v>530.03689630125371</v>
      </c>
      <c r="DE68" s="71">
        <v>544.51987299720918</v>
      </c>
      <c r="DF68" s="71">
        <v>559.18481482819391</v>
      </c>
      <c r="DG68" s="71">
        <v>574.03172179420721</v>
      </c>
      <c r="DH68" s="71">
        <v>589.06059389524955</v>
      </c>
      <c r="DI68" s="71">
        <v>604.27143113132104</v>
      </c>
      <c r="DJ68" s="71">
        <v>619.66423350242144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D.2.1</v>
      </c>
      <c r="B82" s="12" t="s">
        <v>58</v>
      </c>
      <c r="C82" s="12"/>
      <c r="D82" s="12"/>
      <c r="E82" s="12"/>
      <c r="F82" s="12"/>
      <c r="G82" s="12"/>
      <c r="H82" s="12"/>
      <c r="I82" s="12"/>
      <c r="J82" s="77" t="s">
        <v>59</v>
      </c>
      <c r="K82" s="78" t="s">
        <v>60</v>
      </c>
      <c r="L82" s="3"/>
    </row>
    <row r="83" spans="1:14" ht="20.100000000000001" customHeight="1" outlineLevel="1">
      <c r="A83" s="9" t="s">
        <v>5</v>
      </c>
      <c r="B83" s="11" t="s">
        <v>323</v>
      </c>
      <c r="C83" s="11"/>
      <c r="D83" s="11"/>
      <c r="E83" s="11"/>
      <c r="F83" s="11"/>
      <c r="G83" s="11"/>
      <c r="H83" s="11"/>
      <c r="I83" s="10"/>
      <c r="J83" s="79">
        <v>-81.400000000000006</v>
      </c>
      <c r="K83" s="79">
        <v>928</v>
      </c>
      <c r="L83" s="3"/>
    </row>
    <row r="84" spans="1:14" ht="20.100000000000001" customHeight="1" outlineLevel="1">
      <c r="A84" s="9" t="s">
        <v>4</v>
      </c>
      <c r="B84" s="8" t="s">
        <v>61</v>
      </c>
      <c r="C84" s="8"/>
      <c r="D84" s="8"/>
      <c r="E84" s="8"/>
      <c r="F84" s="8"/>
      <c r="G84" s="8"/>
      <c r="H84" s="8"/>
      <c r="I84" s="7"/>
      <c r="J84" s="79">
        <v>1557.7699806243011</v>
      </c>
      <c r="K84" s="79">
        <v>1276</v>
      </c>
      <c r="L84" s="3"/>
    </row>
    <row r="85" spans="1:14" ht="20.100000000000001" customHeight="1" outlineLevel="1">
      <c r="A85" s="9" t="s">
        <v>3</v>
      </c>
      <c r="B85" s="8" t="s">
        <v>62</v>
      </c>
      <c r="C85" s="8"/>
      <c r="D85" s="8"/>
      <c r="E85" s="8"/>
      <c r="F85" s="8"/>
      <c r="G85" s="8"/>
      <c r="H85" s="8"/>
      <c r="I85" s="7"/>
      <c r="J85" s="79">
        <v>117.57576867972085</v>
      </c>
      <c r="K85" s="79">
        <v>942.59339486542592</v>
      </c>
      <c r="L85" s="3"/>
    </row>
    <row r="86" spans="1:14" ht="20.100000000000001" customHeight="1" outlineLevel="1">
      <c r="A86" s="9" t="s">
        <v>7</v>
      </c>
      <c r="B86" s="8" t="s">
        <v>64</v>
      </c>
      <c r="C86" s="8"/>
      <c r="D86" s="8"/>
      <c r="E86" s="8"/>
      <c r="F86" s="8"/>
      <c r="G86" s="8"/>
      <c r="H86" s="8"/>
      <c r="I86" s="7"/>
      <c r="J86" s="79">
        <v>-864.50749415848122</v>
      </c>
      <c r="K86" s="79">
        <v>906.79971346907462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D.2.2</v>
      </c>
      <c r="B88" s="12" t="s">
        <v>63</v>
      </c>
      <c r="C88" s="12"/>
      <c r="D88" s="12"/>
      <c r="E88" s="12"/>
      <c r="F88" s="12"/>
      <c r="G88" s="12"/>
      <c r="H88" s="12"/>
      <c r="I88" s="78" t="s">
        <v>94</v>
      </c>
      <c r="J88" s="77" t="s">
        <v>67</v>
      </c>
      <c r="K88" s="78" t="s">
        <v>68</v>
      </c>
      <c r="L88" s="3"/>
    </row>
    <row r="89" spans="1:14" ht="20.100000000000001" customHeight="1" outlineLevel="1">
      <c r="A89" s="9" t="s">
        <v>5</v>
      </c>
      <c r="B89" s="11" t="s">
        <v>325</v>
      </c>
      <c r="C89" s="11"/>
      <c r="D89" s="11"/>
      <c r="E89" s="11"/>
      <c r="F89" s="11"/>
      <c r="G89" s="11"/>
      <c r="H89" s="11"/>
      <c r="I89" s="80">
        <v>933046.64059564879</v>
      </c>
      <c r="J89" s="80">
        <v>6.9852082284289088E-2</v>
      </c>
      <c r="K89" s="80">
        <v>9.6486984873490528E-8</v>
      </c>
      <c r="L89" s="3"/>
    </row>
    <row r="90" spans="1:14" ht="20.100000000000001" customHeight="1" outlineLevel="1">
      <c r="A90" s="9" t="s">
        <v>4</v>
      </c>
      <c r="B90" s="8" t="s">
        <v>65</v>
      </c>
      <c r="C90" s="8"/>
      <c r="D90" s="8"/>
      <c r="E90" s="8"/>
      <c r="F90" s="8"/>
      <c r="G90" s="8"/>
      <c r="H90" s="8"/>
      <c r="I90" s="80">
        <v>932636.38091480138</v>
      </c>
      <c r="J90" s="80">
        <v>5.9771991845776674E-2</v>
      </c>
      <c r="K90" s="80">
        <v>3.4569967437910545E-8</v>
      </c>
      <c r="L90" s="3"/>
    </row>
    <row r="91" spans="1:14" ht="20.100000000000001" customHeight="1" outlineLevel="1">
      <c r="A91" s="9" t="s">
        <v>3</v>
      </c>
      <c r="B91" s="8" t="s">
        <v>66</v>
      </c>
      <c r="C91" s="8"/>
      <c r="D91" s="8"/>
      <c r="E91" s="8"/>
      <c r="F91" s="8"/>
      <c r="G91" s="8"/>
      <c r="H91" s="8"/>
      <c r="I91" s="80">
        <v>906799.71346907457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D.3</v>
      </c>
      <c r="B94" s="14" t="s">
        <v>69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D.3.1</v>
      </c>
      <c r="B112" s="12" t="s">
        <v>58</v>
      </c>
      <c r="C112" s="12"/>
      <c r="D112" s="12"/>
      <c r="E112" s="12"/>
      <c r="F112" s="12"/>
      <c r="G112" s="12"/>
      <c r="H112" s="12"/>
      <c r="I112" s="12"/>
      <c r="J112" s="77" t="s">
        <v>59</v>
      </c>
      <c r="K112" s="78" t="s">
        <v>70</v>
      </c>
      <c r="L112" s="3"/>
    </row>
    <row r="113" spans="1:21" ht="20.100000000000001" customHeight="1" outlineLevel="1">
      <c r="A113" s="9" t="s">
        <v>5</v>
      </c>
      <c r="B113" s="11" t="s">
        <v>323</v>
      </c>
      <c r="C113" s="11"/>
      <c r="D113" s="11"/>
      <c r="E113" s="11"/>
      <c r="F113" s="11"/>
      <c r="G113" s="11"/>
      <c r="H113" s="11"/>
      <c r="I113" s="10"/>
      <c r="J113" s="79">
        <f>point1.Z</f>
        <v>-81.400000000000006</v>
      </c>
      <c r="K113" s="79">
        <v>-8.7845397654096988</v>
      </c>
      <c r="L113" s="3"/>
    </row>
    <row r="114" spans="1:21" ht="20.100000000000001" customHeight="1" outlineLevel="1">
      <c r="A114" s="9" t="s">
        <v>4</v>
      </c>
      <c r="B114" s="8" t="s">
        <v>61</v>
      </c>
      <c r="C114" s="8"/>
      <c r="D114" s="8"/>
      <c r="E114" s="8"/>
      <c r="F114" s="8"/>
      <c r="G114" s="8"/>
      <c r="H114" s="8"/>
      <c r="I114" s="7"/>
      <c r="J114" s="79">
        <f>point2.Z</f>
        <v>1557.7699806243011</v>
      </c>
      <c r="K114" s="79">
        <v>573.55733189441719</v>
      </c>
      <c r="L114" s="3"/>
    </row>
    <row r="115" spans="1:21" ht="20.100000000000001" customHeight="1" outlineLevel="1">
      <c r="A115" s="9" t="s">
        <v>3</v>
      </c>
      <c r="B115" s="8" t="s">
        <v>62</v>
      </c>
      <c r="C115" s="8"/>
      <c r="D115" s="8"/>
      <c r="E115" s="8"/>
      <c r="F115" s="8"/>
      <c r="G115" s="8"/>
      <c r="H115" s="8"/>
      <c r="I115" s="7"/>
      <c r="J115" s="79">
        <f>point3.Z</f>
        <v>117.57576867972085</v>
      </c>
      <c r="K115" s="79">
        <v>22.40245038750443</v>
      </c>
      <c r="L115" s="3"/>
    </row>
    <row r="116" spans="1:21" ht="20.100000000000001" customHeight="1" outlineLevel="1">
      <c r="A116" s="9" t="s">
        <v>7</v>
      </c>
      <c r="B116" s="8" t="s">
        <v>64</v>
      </c>
      <c r="C116" s="8"/>
      <c r="D116" s="8"/>
      <c r="E116" s="8"/>
      <c r="F116" s="8"/>
      <c r="G116" s="8"/>
      <c r="H116" s="8"/>
      <c r="I116" s="7"/>
      <c r="J116" s="79">
        <f>point4.Z</f>
        <v>-864.50749415848122</v>
      </c>
      <c r="K116" s="79">
        <v>-59.416005440501245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D.3.2</v>
      </c>
      <c r="B118" s="12" t="s">
        <v>63</v>
      </c>
      <c r="C118" s="12"/>
      <c r="D118" s="12"/>
      <c r="E118" s="12"/>
      <c r="F118" s="12"/>
      <c r="G118" s="12"/>
      <c r="H118" s="12"/>
      <c r="I118" s="78" t="s">
        <v>94</v>
      </c>
      <c r="J118" s="77" t="s">
        <v>67</v>
      </c>
      <c r="K118" s="78" t="s">
        <v>68</v>
      </c>
      <c r="L118" s="3"/>
    </row>
    <row r="119" spans="1:21" ht="20.100000000000001" customHeight="1" outlineLevel="1">
      <c r="A119" s="9" t="s">
        <v>5</v>
      </c>
      <c r="B119" s="11" t="s">
        <v>325</v>
      </c>
      <c r="C119" s="11"/>
      <c r="D119" s="11"/>
      <c r="E119" s="11"/>
      <c r="F119" s="11"/>
      <c r="G119" s="11"/>
      <c r="H119" s="11"/>
      <c r="I119" s="80">
        <v>2.6546005762730638</v>
      </c>
      <c r="J119" s="80">
        <v>1.5175085149461888E-4</v>
      </c>
      <c r="K119" s="146">
        <v>1.3784854873546085E-10</v>
      </c>
      <c r="L119" s="3"/>
    </row>
    <row r="120" spans="1:21" ht="20.100000000000001" customHeight="1" outlineLevel="1">
      <c r="A120" s="9" t="s">
        <v>4</v>
      </c>
      <c r="B120" s="8" t="s">
        <v>65</v>
      </c>
      <c r="C120" s="8"/>
      <c r="D120" s="8"/>
      <c r="E120" s="8"/>
      <c r="F120" s="8"/>
      <c r="G120" s="8"/>
      <c r="H120" s="8"/>
      <c r="I120" s="80">
        <v>2.2882710101418962</v>
      </c>
      <c r="J120" s="80">
        <v>1.4275012505404964E-4</v>
      </c>
      <c r="K120" s="80">
        <v>8.2561531287246839E-11</v>
      </c>
      <c r="L120" s="3"/>
    </row>
    <row r="121" spans="1:21" ht="20.100000000000001" customHeight="1" outlineLevel="1">
      <c r="A121" s="9" t="s">
        <v>3</v>
      </c>
      <c r="B121" s="8" t="s">
        <v>66</v>
      </c>
      <c r="C121" s="8"/>
      <c r="D121" s="8"/>
      <c r="E121" s="8"/>
      <c r="F121" s="8"/>
      <c r="G121" s="8"/>
      <c r="H121" s="8"/>
      <c r="I121" s="80">
        <v>-59.416005440501245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D.4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D.4.1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5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27">
        <v>1.4</v>
      </c>
      <c r="K127" s="93" t="s">
        <v>263</v>
      </c>
      <c r="L127" s="3"/>
      <c r="U127" s="99"/>
    </row>
    <row r="128" spans="1:21" ht="20.100000000000001" customHeight="1">
      <c r="A128" s="9" t="s">
        <v>4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97">
        <v>2.1533230192475297</v>
      </c>
      <c r="K128" s="93" t="s">
        <v>8</v>
      </c>
      <c r="L128" s="3"/>
      <c r="U128" s="99"/>
    </row>
    <row r="129" spans="1:21" ht="20.100000000000001" customHeight="1">
      <c r="A129" s="9" t="s">
        <v>3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67">
        <v>0.44426272750754392</v>
      </c>
      <c r="K129" s="5" t="s">
        <v>86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D.4.1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"/>
      <c r="K131" s="12"/>
      <c r="L131" s="3"/>
      <c r="U131" s="99"/>
    </row>
    <row r="132" spans="1:21" ht="20.100000000000001" customHeight="1">
      <c r="A132" s="9" t="s">
        <v>5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97">
        <v>2.8707963267948964</v>
      </c>
      <c r="K132" s="5" t="s">
        <v>86</v>
      </c>
      <c r="L132" s="3"/>
      <c r="U132" s="99"/>
    </row>
    <row r="133" spans="1:21" ht="20.100000000000001" customHeight="1">
      <c r="A133" s="9" t="s">
        <v>4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49">
        <v>838.24223860426605</v>
      </c>
      <c r="K133" s="5" t="s">
        <v>81</v>
      </c>
      <c r="L133" s="3"/>
      <c r="U133" s="99"/>
    </row>
    <row r="134" spans="1:21" ht="20.100000000000001" customHeight="1">
      <c r="A134" s="9" t="s">
        <v>3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98">
        <v>41640</v>
      </c>
      <c r="K134" s="5" t="s">
        <v>218</v>
      </c>
      <c r="L134" s="3"/>
      <c r="U134" s="99"/>
    </row>
    <row r="135" spans="1:21" ht="20.100000000000001" customHeight="1">
      <c r="A135" s="9" t="s">
        <v>7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48">
        <v>49967999.999999978</v>
      </c>
      <c r="K135" s="5" t="s">
        <v>288</v>
      </c>
      <c r="L135" s="3"/>
      <c r="U135" s="99"/>
    </row>
    <row r="136" spans="1:21" ht="20.100000000000001" customHeight="1">
      <c r="A136" s="9" t="s">
        <v>6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49">
        <v>1.056403570963949</v>
      </c>
      <c r="K136" s="5" t="s">
        <v>81</v>
      </c>
      <c r="L136" s="3"/>
      <c r="U136" s="99"/>
    </row>
    <row r="137" spans="1:21" ht="20.100000000000001" customHeight="1">
      <c r="A137" s="9" t="s">
        <v>32</v>
      </c>
      <c r="B137" s="8" t="s">
        <v>79</v>
      </c>
      <c r="C137" s="8"/>
      <c r="D137" s="8"/>
      <c r="E137" s="8"/>
      <c r="F137" s="8"/>
      <c r="G137" s="8"/>
      <c r="H137" s="8"/>
      <c r="I137" s="7" t="s">
        <v>80</v>
      </c>
      <c r="J137" s="62">
        <v>1846.4570127855063</v>
      </c>
      <c r="K137" s="5" t="s">
        <v>81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D.4.2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5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67">
        <v>0.11977297484086973</v>
      </c>
      <c r="K140" s="5" t="s">
        <v>8</v>
      </c>
      <c r="L140" s="3"/>
      <c r="U140" s="99"/>
    </row>
    <row r="141" spans="1:21" ht="20.100000000000001" customHeight="1">
      <c r="A141" s="9" t="s">
        <v>4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62">
        <v>135926.68533116262</v>
      </c>
      <c r="K141" s="5" t="s">
        <v>81</v>
      </c>
      <c r="L141" s="3"/>
      <c r="U141" s="99"/>
    </row>
    <row r="142" spans="1:21" ht="20.100000000000001" customHeight="1">
      <c r="A142" s="9" t="s">
        <v>3</v>
      </c>
      <c r="B142" s="8" t="s">
        <v>84</v>
      </c>
      <c r="C142" s="8"/>
      <c r="D142" s="8"/>
      <c r="E142" s="8"/>
      <c r="F142" s="8"/>
      <c r="G142" s="8"/>
      <c r="H142" s="8"/>
      <c r="I142" s="82" t="s">
        <v>85</v>
      </c>
      <c r="J142" s="6">
        <v>1.0135842127562142</v>
      </c>
      <c r="K142" s="5" t="s">
        <v>86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D.4.3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5</v>
      </c>
      <c r="B145" s="8" t="s">
        <v>73</v>
      </c>
      <c r="C145" s="8"/>
      <c r="D145" s="8"/>
      <c r="E145" s="8"/>
      <c r="F145" s="8"/>
      <c r="G145" s="8"/>
      <c r="H145" s="8"/>
      <c r="I145" s="7" t="s">
        <v>74</v>
      </c>
      <c r="J145" s="62">
        <v>2320</v>
      </c>
      <c r="K145" s="5" t="s">
        <v>9</v>
      </c>
      <c r="L145" s="3"/>
      <c r="U145" s="101"/>
    </row>
    <row r="146" spans="1:21" ht="20.100000000000001" customHeight="1">
      <c r="A146" s="9" t="s">
        <v>4</v>
      </c>
      <c r="B146" s="8" t="s">
        <v>75</v>
      </c>
      <c r="C146" s="8"/>
      <c r="D146" s="8"/>
      <c r="E146" s="8"/>
      <c r="F146" s="8"/>
      <c r="G146" s="8"/>
      <c r="H146" s="8"/>
      <c r="I146" s="7" t="s">
        <v>76</v>
      </c>
      <c r="J146" s="62">
        <v>1894.9669848853239</v>
      </c>
      <c r="K146" s="5" t="s">
        <v>9</v>
      </c>
      <c r="L146" s="3"/>
      <c r="U146" s="101"/>
    </row>
    <row r="147" spans="1:21" ht="20.100000000000001" customHeight="1">
      <c r="A147" s="9" t="s">
        <v>3</v>
      </c>
      <c r="B147" s="8" t="s">
        <v>327</v>
      </c>
      <c r="C147" s="8"/>
      <c r="D147" s="8"/>
      <c r="E147" s="8"/>
      <c r="F147" s="8"/>
      <c r="G147" s="8"/>
      <c r="H147" s="8"/>
      <c r="I147" s="81" t="s">
        <v>328</v>
      </c>
      <c r="J147" s="62">
        <v>0</v>
      </c>
      <c r="K147" s="5" t="s">
        <v>9</v>
      </c>
      <c r="L147" s="3"/>
      <c r="U147" s="101"/>
    </row>
    <row r="148" spans="1:21" ht="20.100000000000001" customHeight="1">
      <c r="A148" s="9" t="s">
        <v>7</v>
      </c>
      <c r="B148" s="8" t="s">
        <v>82</v>
      </c>
      <c r="C148" s="8"/>
      <c r="D148" s="8"/>
      <c r="E148" s="8"/>
      <c r="F148" s="8"/>
      <c r="G148" s="8"/>
      <c r="H148" s="8"/>
      <c r="I148" s="81" t="s">
        <v>83</v>
      </c>
      <c r="J148" s="62">
        <v>-425.03301511467629</v>
      </c>
      <c r="K148" s="5" t="s">
        <v>9</v>
      </c>
      <c r="L148" s="3"/>
    </row>
    <row r="149" spans="1:21" ht="20.100000000000001" customHeight="1">
      <c r="A149" s="9" t="s">
        <v>6</v>
      </c>
      <c r="B149" s="8" t="s">
        <v>350</v>
      </c>
      <c r="C149" s="8"/>
      <c r="D149" s="8"/>
      <c r="E149" s="8"/>
      <c r="F149" s="8"/>
      <c r="G149" s="8"/>
      <c r="H149" s="8"/>
      <c r="I149" s="81" t="s">
        <v>349</v>
      </c>
      <c r="J149" s="62">
        <v>-358.07447904380501</v>
      </c>
      <c r="K149" s="5"/>
      <c r="L149" s="3"/>
    </row>
    <row r="150" spans="1:21" ht="20.100000000000001" customHeight="1">
      <c r="A150" s="9" t="s">
        <v>6</v>
      </c>
      <c r="B150" s="8" t="s">
        <v>330</v>
      </c>
      <c r="C150" s="8"/>
      <c r="D150" s="8"/>
      <c r="E150" s="8"/>
      <c r="F150" s="8"/>
      <c r="G150" s="8"/>
      <c r="H150" s="8"/>
      <c r="I150" s="81" t="s">
        <v>331</v>
      </c>
      <c r="J150" s="62">
        <v>-783.10749415848124</v>
      </c>
      <c r="K150" s="5" t="s">
        <v>9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$A$124&amp;"."&amp;4</f>
        <v>D.4.4</v>
      </c>
      <c r="B152" s="12" t="s">
        <v>254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U152" s="99"/>
    </row>
    <row r="153" spans="1:21" ht="20.100000000000001" customHeight="1">
      <c r="A153" s="9" t="s">
        <v>5</v>
      </c>
      <c r="B153" s="8" t="s">
        <v>87</v>
      </c>
      <c r="C153" s="8"/>
      <c r="D153" s="8"/>
      <c r="E153" s="8"/>
      <c r="F153" s="8"/>
      <c r="G153" s="8"/>
      <c r="H153" s="8"/>
      <c r="I153" s="81" t="s">
        <v>88</v>
      </c>
      <c r="J153" s="67">
        <v>7.3342573129675792E-2</v>
      </c>
      <c r="K153" s="5" t="s">
        <v>86</v>
      </c>
      <c r="L153" s="3"/>
    </row>
    <row r="154" spans="1:21" ht="20.100000000000001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3"/>
      <c r="U154" s="99"/>
    </row>
    <row r="155" spans="1:21" ht="20.100000000000001" customHeight="1">
      <c r="A155" s="75" t="str">
        <f>$A$124&amp;"."&amp;5</f>
        <v>D.4.5</v>
      </c>
      <c r="B155" s="12" t="s">
        <v>255</v>
      </c>
      <c r="C155" s="12"/>
      <c r="D155" s="12"/>
      <c r="E155" s="12"/>
      <c r="F155" s="12"/>
      <c r="G155" s="12"/>
      <c r="H155" s="12"/>
      <c r="I155" s="12"/>
      <c r="J155" s="12"/>
      <c r="K155" s="12"/>
      <c r="L155" s="3"/>
      <c r="M155" s="70" t="s">
        <v>233</v>
      </c>
      <c r="N155" s="78" t="s">
        <v>226</v>
      </c>
      <c r="O155" s="78">
        <v>1</v>
      </c>
      <c r="P155" s="78" t="s">
        <v>227</v>
      </c>
      <c r="Q155" s="78" t="s">
        <v>228</v>
      </c>
      <c r="R155" s="78" t="s">
        <v>229</v>
      </c>
      <c r="S155" s="78" t="s">
        <v>230</v>
      </c>
      <c r="U155" s="99"/>
    </row>
    <row r="156" spans="1:21" ht="20.100000000000001" customHeight="1">
      <c r="A156" s="9" t="s">
        <v>5</v>
      </c>
      <c r="B156" s="8" t="s">
        <v>221</v>
      </c>
      <c r="C156" s="8"/>
      <c r="D156" s="8"/>
      <c r="E156" s="8"/>
      <c r="F156" s="8"/>
      <c r="G156" s="8"/>
      <c r="H156" s="8"/>
      <c r="I156" s="7" t="s">
        <v>234</v>
      </c>
      <c r="J156" s="62">
        <v>968.49894689613836</v>
      </c>
      <c r="K156" s="5" t="s">
        <v>222</v>
      </c>
      <c r="L156" s="3"/>
      <c r="M156" s="70" t="s">
        <v>232</v>
      </c>
      <c r="N156" s="102"/>
      <c r="O156" s="102"/>
      <c r="P156" s="102"/>
      <c r="Q156" s="102"/>
      <c r="R156" s="102"/>
      <c r="S156" s="122">
        <f>1/bolt.axial_stiffness</f>
        <v>1.0325256451799113E-3</v>
      </c>
      <c r="T156" s="1" t="s">
        <v>224</v>
      </c>
      <c r="U156" s="99"/>
    </row>
    <row r="157" spans="1:21" ht="20.100000000000001" customHeight="1">
      <c r="A157" s="9" t="s">
        <v>4</v>
      </c>
      <c r="B157" s="8" t="s">
        <v>77</v>
      </c>
      <c r="C157" s="8"/>
      <c r="D157" s="8"/>
      <c r="E157" s="8"/>
      <c r="F157" s="8"/>
      <c r="G157" s="8"/>
      <c r="H157" s="8"/>
      <c r="I157" s="7" t="s">
        <v>236</v>
      </c>
      <c r="J157" s="62">
        <v>115.11020949360929</v>
      </c>
      <c r="K157" s="5" t="s">
        <v>78</v>
      </c>
      <c r="L157" s="3"/>
      <c r="M157" s="70" t="s">
        <v>231</v>
      </c>
      <c r="N157" s="120">
        <v>94.734999999999999</v>
      </c>
      <c r="O157" s="120">
        <v>780.97299999999996</v>
      </c>
      <c r="P157" s="120">
        <v>452.98</v>
      </c>
      <c r="Q157" s="120">
        <v>139.38</v>
      </c>
      <c r="R157" s="120">
        <v>75.787999999999997</v>
      </c>
      <c r="S157" s="121">
        <f>1/(bolt.bending_stiffness/1000000)</f>
        <v>8687.3267314791756</v>
      </c>
      <c r="T157" s="1" t="s">
        <v>223</v>
      </c>
      <c r="U157" s="99"/>
    </row>
    <row r="158" spans="1:21" ht="20.100000000000001" customHeight="1">
      <c r="A158" s="9" t="s">
        <v>3</v>
      </c>
      <c r="B158" s="8" t="s">
        <v>283</v>
      </c>
      <c r="C158" s="8"/>
      <c r="D158" s="8"/>
      <c r="E158" s="8"/>
      <c r="F158" s="8"/>
      <c r="G158" s="8"/>
      <c r="H158" s="8"/>
      <c r="I158" s="7" t="s">
        <v>219</v>
      </c>
      <c r="J158" s="62">
        <v>1473.1493426522268</v>
      </c>
      <c r="K158" s="5" t="s">
        <v>218</v>
      </c>
      <c r="L158" s="3"/>
      <c r="N158" s="133">
        <v>94.7</v>
      </c>
      <c r="O158" s="133">
        <v>781</v>
      </c>
      <c r="P158" s="133">
        <v>453</v>
      </c>
      <c r="Q158" s="133">
        <v>139</v>
      </c>
      <c r="R158" s="133">
        <v>75.8</v>
      </c>
      <c r="U158" s="99"/>
    </row>
    <row r="159" spans="1:21" ht="20.100000000000001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3"/>
      <c r="U159" s="99"/>
    </row>
    <row r="160" spans="1:21" ht="20.100000000000001" customHeight="1">
      <c r="A160" s="75" t="str">
        <f>$A$124&amp;"."&amp;6</f>
        <v>D.4.6</v>
      </c>
      <c r="B160" s="12" t="s">
        <v>239</v>
      </c>
      <c r="C160" s="12"/>
      <c r="D160" s="12"/>
      <c r="E160" s="12"/>
      <c r="F160" s="12"/>
      <c r="G160" s="12"/>
      <c r="H160" s="12"/>
      <c r="I160" s="12"/>
      <c r="J160" s="12"/>
      <c r="K160" s="12"/>
      <c r="L160" s="3"/>
      <c r="U160" s="99"/>
    </row>
    <row r="161" spans="1:21" ht="20.100000000000001" customHeight="1">
      <c r="A161" s="9" t="s">
        <v>5</v>
      </c>
      <c r="B161" s="11" t="s">
        <v>237</v>
      </c>
      <c r="C161" s="11"/>
      <c r="D161" s="11"/>
      <c r="E161" s="11"/>
      <c r="F161" s="11"/>
      <c r="G161" s="11"/>
      <c r="H161" s="11"/>
      <c r="I161" s="10" t="s">
        <v>238</v>
      </c>
      <c r="J161" s="92">
        <v>119.99999999999999</v>
      </c>
      <c r="K161" s="93" t="s">
        <v>216</v>
      </c>
      <c r="L161" s="3"/>
      <c r="U161" s="99"/>
    </row>
    <row r="162" spans="1:21" ht="20.100000000000001" customHeight="1">
      <c r="A162" s="9" t="s">
        <v>4</v>
      </c>
      <c r="B162" s="8" t="s">
        <v>71</v>
      </c>
      <c r="C162" s="8"/>
      <c r="D162" s="8"/>
      <c r="E162" s="8"/>
      <c r="F162" s="8"/>
      <c r="G162" s="8"/>
      <c r="H162" s="8"/>
      <c r="I162" s="7" t="s">
        <v>72</v>
      </c>
      <c r="J162" s="64">
        <v>62.500000000000014</v>
      </c>
      <c r="K162" s="5" t="s">
        <v>8</v>
      </c>
      <c r="L162" s="3"/>
      <c r="U162" s="100"/>
    </row>
    <row r="163" spans="1:21" ht="20.100000000000001" customHeight="1">
      <c r="A163" s="9" t="s">
        <v>3</v>
      </c>
      <c r="B163" s="8" t="s">
        <v>297</v>
      </c>
      <c r="C163" s="8"/>
      <c r="D163" s="8"/>
      <c r="E163" s="8"/>
      <c r="F163" s="8"/>
      <c r="G163" s="8"/>
      <c r="H163" s="8"/>
      <c r="I163" s="7" t="s">
        <v>296</v>
      </c>
      <c r="J163" s="64">
        <v>31.250000000000007</v>
      </c>
      <c r="K163" s="5" t="s">
        <v>8</v>
      </c>
      <c r="L163" s="3"/>
      <c r="U163" s="100"/>
    </row>
    <row r="164" spans="1:21" ht="20.100000000000001" customHeight="1">
      <c r="A164" s="9" t="s">
        <v>7</v>
      </c>
      <c r="B164" s="8" t="s">
        <v>298</v>
      </c>
      <c r="C164" s="8"/>
      <c r="D164" s="8"/>
      <c r="E164" s="8"/>
      <c r="F164" s="8"/>
      <c r="G164" s="8"/>
      <c r="H164" s="8"/>
      <c r="I164" s="7" t="s">
        <v>299</v>
      </c>
      <c r="J164" s="148">
        <v>16761025.12543226</v>
      </c>
      <c r="K164" s="5" t="s">
        <v>288</v>
      </c>
      <c r="L164" s="3"/>
      <c r="U164" s="100"/>
    </row>
    <row r="165" spans="1:21" ht="20.100000000000001" customHeight="1">
      <c r="A165" s="9" t="s">
        <v>6</v>
      </c>
      <c r="B165" s="8" t="s">
        <v>225</v>
      </c>
      <c r="C165" s="8"/>
      <c r="D165" s="8"/>
      <c r="E165" s="8"/>
      <c r="F165" s="8"/>
      <c r="G165" s="8"/>
      <c r="H165" s="8"/>
      <c r="I165" s="7" t="s">
        <v>235</v>
      </c>
      <c r="J165" s="92">
        <v>7389.025921243192</v>
      </c>
      <c r="K165" s="5" t="s">
        <v>222</v>
      </c>
      <c r="L165" s="3"/>
      <c r="N165" s="123"/>
      <c r="O165" s="123"/>
      <c r="P165" s="123"/>
      <c r="Q165" s="123"/>
      <c r="R165" s="123"/>
      <c r="S165" s="124"/>
    </row>
    <row r="166" spans="1:21" ht="20.100000000000001" customHeight="1">
      <c r="A166" s="9" t="s">
        <v>32</v>
      </c>
      <c r="B166" s="17" t="s">
        <v>89</v>
      </c>
      <c r="C166" s="17"/>
      <c r="D166" s="17"/>
      <c r="E166" s="17"/>
      <c r="F166" s="17"/>
      <c r="G166" s="17"/>
      <c r="H166" s="17"/>
      <c r="I166" s="83" t="s">
        <v>90</v>
      </c>
      <c r="J166" s="84">
        <v>5.4144001146884835E-2</v>
      </c>
      <c r="K166" s="15" t="s">
        <v>86</v>
      </c>
      <c r="L166" s="3"/>
    </row>
    <row r="167" spans="1:21" ht="20.100000000000001" customHeight="1">
      <c r="A167" s="9" t="s">
        <v>35</v>
      </c>
      <c r="B167" s="8" t="s">
        <v>91</v>
      </c>
      <c r="C167" s="8"/>
      <c r="D167" s="8"/>
      <c r="E167" s="8"/>
      <c r="F167" s="8"/>
      <c r="G167" s="8"/>
      <c r="H167" s="8"/>
      <c r="I167" s="7" t="s">
        <v>92</v>
      </c>
      <c r="J167" s="66">
        <v>0.12930910776048585</v>
      </c>
      <c r="K167" s="5" t="s">
        <v>86</v>
      </c>
      <c r="L167" s="3"/>
    </row>
    <row r="168" spans="1:21" ht="20.100000000000001" customHeight="1">
      <c r="A168" s="9" t="s">
        <v>36</v>
      </c>
      <c r="B168" s="58" t="s">
        <v>351</v>
      </c>
      <c r="C168" s="58"/>
      <c r="D168" s="58"/>
      <c r="E168" s="58"/>
      <c r="F168" s="58"/>
      <c r="G168" s="58"/>
      <c r="H168" s="58"/>
      <c r="I168" s="59" t="s">
        <v>352</v>
      </c>
      <c r="J168" s="125">
        <v>186.68645045038258</v>
      </c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 t="s">
        <v>353</v>
      </c>
      <c r="J169" s="125">
        <v>-81.3</v>
      </c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 t="s">
        <v>354</v>
      </c>
      <c r="J170" s="125">
        <v>7.4857300389025105E-14</v>
      </c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 t="s">
        <v>355</v>
      </c>
      <c r="J171" s="125">
        <v>-35.722340705909588</v>
      </c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 t="s">
        <v>356</v>
      </c>
      <c r="J172" s="125">
        <v>-8.7845397654096438</v>
      </c>
      <c r="K172" s="60"/>
      <c r="L172" s="3"/>
    </row>
    <row r="173" spans="1:21" ht="20.100000000000001" customHeight="1">
      <c r="A173" s="9"/>
      <c r="B173" s="58"/>
      <c r="C173" s="58"/>
      <c r="D173" s="58"/>
      <c r="E173" s="58"/>
      <c r="F173" s="58"/>
      <c r="G173" s="58"/>
      <c r="H173" s="58"/>
      <c r="I173" s="59" t="s">
        <v>357</v>
      </c>
      <c r="J173" s="125">
        <v>3.4821842778265419E-3</v>
      </c>
      <c r="K173" s="60"/>
      <c r="L173" s="3"/>
    </row>
    <row r="174" spans="1:21" ht="20.100000000000001" customHeight="1">
      <c r="A174" s="9"/>
      <c r="B174" s="58"/>
      <c r="C174" s="58"/>
      <c r="D174" s="58"/>
      <c r="E174" s="58"/>
      <c r="F174" s="58"/>
      <c r="G174" s="58"/>
      <c r="H174" s="58"/>
      <c r="I174" s="59" t="s">
        <v>358</v>
      </c>
      <c r="J174" s="125">
        <v>-35.678455766467437</v>
      </c>
      <c r="K174" s="60"/>
      <c r="L174" s="3"/>
    </row>
    <row r="175" spans="1:21" ht="20.100000000000001" customHeight="1">
      <c r="A175" s="9"/>
      <c r="B175" s="58"/>
      <c r="C175" s="58"/>
      <c r="D175" s="58"/>
      <c r="E175" s="58"/>
      <c r="F175" s="58"/>
      <c r="G175" s="58"/>
      <c r="H175" s="58"/>
      <c r="I175" s="59" t="s">
        <v>359</v>
      </c>
      <c r="J175" s="63">
        <v>-8.772242558209097</v>
      </c>
      <c r="K175" s="60"/>
      <c r="L175" s="3"/>
    </row>
    <row r="176" spans="1:21" ht="20.100000000000001" customHeight="1">
      <c r="A176" s="4"/>
      <c r="B176" s="4"/>
      <c r="C176" s="4"/>
      <c r="D176" s="4"/>
      <c r="E176" s="4"/>
      <c r="F176" s="4"/>
      <c r="G176" s="4"/>
      <c r="H176" s="4"/>
      <c r="I176" s="4" t="s">
        <v>398</v>
      </c>
      <c r="J176" s="4">
        <v>2.4459063458696608</v>
      </c>
      <c r="K176" s="4"/>
      <c r="L176" s="3"/>
    </row>
    <row r="177" spans="1:12" ht="20.100000000000001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3"/>
    </row>
    <row r="181" spans="1:12" ht="12.75">
      <c r="B181" s="69"/>
      <c r="C181" s="69"/>
      <c r="D181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8" priority="3" stopIfTrue="1" operator="between">
      <formula>0</formula>
      <formula>1</formula>
    </cfRule>
  </conditionalFormatting>
  <conditionalFormatting sqref="K94">
    <cfRule type="cellIs" dxfId="17" priority="2" stopIfTrue="1" operator="between">
      <formula>0</formula>
      <formula>1</formula>
    </cfRule>
  </conditionalFormatting>
  <conditionalFormatting sqref="K124">
    <cfRule type="cellIs" dxfId="16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0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1:AD1216"/>
  <sheetViews>
    <sheetView showGridLines="0" tabSelected="1" topLeftCell="A108" zoomScale="77" zoomScaleNormal="100" workbookViewId="0">
      <selection activeCell="G21" sqref="G21"/>
    </sheetView>
  </sheetViews>
  <sheetFormatPr baseColWidth="10" defaultColWidth="11.5703125" defaultRowHeight="12.75"/>
  <cols>
    <col min="1" max="1" width="2.7109375" customWidth="1"/>
    <col min="3" max="4" width="14.85546875" customWidth="1"/>
    <col min="5" max="7" width="16.85546875" customWidth="1"/>
    <col min="8" max="8" width="66.42578125" bestFit="1" customWidth="1"/>
    <col min="10" max="10" width="0" hidden="1" customWidth="1"/>
  </cols>
  <sheetData>
    <row r="1" spans="2:30">
      <c r="AB1" s="165">
        <v>1</v>
      </c>
      <c r="AC1" s="165">
        <v>2</v>
      </c>
      <c r="AD1" s="165">
        <v>3</v>
      </c>
    </row>
    <row r="2" spans="2:30">
      <c r="B2" s="117" t="s">
        <v>215</v>
      </c>
      <c r="N2" s="117" t="s">
        <v>282</v>
      </c>
    </row>
    <row r="3" spans="2:30">
      <c r="R3" s="117" t="s">
        <v>282</v>
      </c>
    </row>
    <row r="4" spans="2:30">
      <c r="B4" s="117" t="s">
        <v>281</v>
      </c>
      <c r="AB4" s="117" t="s">
        <v>385</v>
      </c>
    </row>
    <row r="6" spans="2:30" ht="14.25">
      <c r="R6" t="s">
        <v>361</v>
      </c>
      <c r="S6" s="156">
        <v>0</v>
      </c>
      <c r="T6" t="s">
        <v>362</v>
      </c>
      <c r="X6" s="117" t="s">
        <v>363</v>
      </c>
      <c r="AB6" s="166" t="s">
        <v>386</v>
      </c>
      <c r="AC6" s="108">
        <v>1.3</v>
      </c>
      <c r="AD6" t="s">
        <v>387</v>
      </c>
    </row>
    <row r="7" spans="2:30" ht="14.25">
      <c r="R7" t="s">
        <v>364</v>
      </c>
      <c r="S7" s="157">
        <v>1.5</v>
      </c>
      <c r="X7" s="158" t="s">
        <v>365</v>
      </c>
      <c r="Y7" s="110">
        <v>50</v>
      </c>
      <c r="AB7" s="166" t="s">
        <v>388</v>
      </c>
      <c r="AC7" s="108">
        <v>1.5</v>
      </c>
      <c r="AD7" t="s">
        <v>389</v>
      </c>
    </row>
    <row r="8" spans="2:30" ht="14.25">
      <c r="X8" s="158" t="s">
        <v>366</v>
      </c>
      <c r="Y8" s="110">
        <v>0.1</v>
      </c>
      <c r="AB8" s="166" t="s">
        <v>390</v>
      </c>
      <c r="AC8" s="108">
        <v>1</v>
      </c>
      <c r="AD8" t="s">
        <v>391</v>
      </c>
    </row>
    <row r="9" spans="2:30">
      <c r="X9" s="158" t="s">
        <v>367</v>
      </c>
      <c r="Y9" s="109">
        <v>0.95408705132867211</v>
      </c>
    </row>
    <row r="10" spans="2:30">
      <c r="R10" s="117" t="s">
        <v>368</v>
      </c>
      <c r="X10" s="158" t="s">
        <v>369</v>
      </c>
      <c r="Y10" s="109">
        <v>43.367593242212365</v>
      </c>
      <c r="Z10" t="s">
        <v>370</v>
      </c>
    </row>
    <row r="11" spans="2:30">
      <c r="R11" s="159" t="s">
        <v>371</v>
      </c>
      <c r="T11" s="160" t="s">
        <v>399</v>
      </c>
      <c r="U11" s="104">
        <v>150</v>
      </c>
      <c r="V11" s="160" t="s">
        <v>8</v>
      </c>
      <c r="X11" s="158" t="s">
        <v>372</v>
      </c>
      <c r="Y11" s="110">
        <v>3</v>
      </c>
    </row>
    <row r="12" spans="2:30">
      <c r="R12" s="161" t="s">
        <v>373</v>
      </c>
      <c r="T12" s="162" t="s">
        <v>400</v>
      </c>
      <c r="U12" s="104">
        <v>90</v>
      </c>
      <c r="V12" s="162" t="s">
        <v>8</v>
      </c>
      <c r="X12" s="158" t="s">
        <v>374</v>
      </c>
      <c r="Y12" s="110">
        <v>5</v>
      </c>
      <c r="AB12" s="117" t="s">
        <v>392</v>
      </c>
    </row>
    <row r="13" spans="2:30">
      <c r="X13" s="158" t="s">
        <v>375</v>
      </c>
      <c r="Y13" s="110">
        <v>2000000</v>
      </c>
    </row>
    <row r="14" spans="2:30" ht="15">
      <c r="R14" s="159" t="s">
        <v>376</v>
      </c>
      <c r="T14" s="160" t="s">
        <v>401</v>
      </c>
      <c r="U14" s="163">
        <v>44.752499999999998</v>
      </c>
      <c r="V14" s="160" t="s">
        <v>8</v>
      </c>
      <c r="X14" s="158" t="s">
        <v>377</v>
      </c>
      <c r="Y14" s="109">
        <v>43.367593242212365</v>
      </c>
      <c r="AB14" s="167" t="s">
        <v>393</v>
      </c>
      <c r="AC14" s="167" t="s">
        <v>394</v>
      </c>
      <c r="AD14" s="167" t="s">
        <v>395</v>
      </c>
    </row>
    <row r="15" spans="2:30" ht="15">
      <c r="R15" s="159" t="s">
        <v>378</v>
      </c>
      <c r="T15" s="160" t="s">
        <v>402</v>
      </c>
      <c r="U15" s="163">
        <v>44.752499999999998</v>
      </c>
      <c r="V15" s="160" t="s">
        <v>8</v>
      </c>
      <c r="X15" s="158" t="s">
        <v>379</v>
      </c>
      <c r="Y15" s="109">
        <v>1</v>
      </c>
      <c r="AB15" s="168" t="s">
        <v>396</v>
      </c>
      <c r="AC15" s="168" t="s">
        <v>396</v>
      </c>
      <c r="AD15" s="168" t="s">
        <v>123</v>
      </c>
    </row>
    <row r="16" spans="2:30">
      <c r="R16" s="159" t="s">
        <v>380</v>
      </c>
      <c r="T16" s="160" t="s">
        <v>403</v>
      </c>
      <c r="U16" s="163">
        <v>41.865812163333331</v>
      </c>
      <c r="V16" s="160" t="s">
        <v>8</v>
      </c>
      <c r="X16" s="158" t="s">
        <v>381</v>
      </c>
      <c r="Y16" s="109">
        <v>1.1000000000000001</v>
      </c>
      <c r="AB16" s="169">
        <v>0.12902715000000001</v>
      </c>
      <c r="AC16" s="169">
        <v>-451839.7</v>
      </c>
      <c r="AD16" s="170">
        <v>0.1</v>
      </c>
    </row>
    <row r="17" spans="2:30">
      <c r="X17" s="158" t="s">
        <v>382</v>
      </c>
      <c r="Y17" s="109">
        <v>0.60099999999999998</v>
      </c>
      <c r="AB17" s="169">
        <v>0.12902715000000001</v>
      </c>
      <c r="AC17" s="169">
        <v>-366581.8</v>
      </c>
      <c r="AD17" s="170">
        <v>3088.54</v>
      </c>
    </row>
    <row r="18" spans="2:30">
      <c r="R18" s="159" t="s">
        <v>383</v>
      </c>
      <c r="T18" s="160" t="s">
        <v>384</v>
      </c>
      <c r="U18" s="164">
        <v>1473.1579837133568</v>
      </c>
      <c r="V18" s="160" t="s">
        <v>218</v>
      </c>
      <c r="AB18" s="169">
        <v>53577.15</v>
      </c>
      <c r="AC18" s="169">
        <v>-366581.8</v>
      </c>
      <c r="AD18" s="170">
        <v>0.01</v>
      </c>
    </row>
    <row r="19" spans="2:30">
      <c r="AB19" s="169">
        <v>0.12902715000000001</v>
      </c>
      <c r="AC19" s="169">
        <v>-345267</v>
      </c>
      <c r="AD19" s="170">
        <v>151494</v>
      </c>
    </row>
    <row r="20" spans="2:30">
      <c r="G20" s="134" t="s">
        <v>289</v>
      </c>
      <c r="AB20" s="169">
        <v>26788.65</v>
      </c>
      <c r="AC20" s="169">
        <v>-345267</v>
      </c>
      <c r="AD20" s="170">
        <v>465.63499999999999</v>
      </c>
    </row>
    <row r="21" spans="2:30" ht="18.75">
      <c r="G21" s="135">
        <v>120</v>
      </c>
      <c r="AB21" s="169">
        <v>80365.5</v>
      </c>
      <c r="AC21" s="169">
        <v>-345267</v>
      </c>
      <c r="AD21" s="170">
        <v>0.15</v>
      </c>
    </row>
    <row r="22" spans="2:30">
      <c r="G22" s="136">
        <f>MATCH(gap_angle,N48:Q48,0)</f>
        <v>4</v>
      </c>
      <c r="AB22" s="169">
        <v>0.12902715000000001</v>
      </c>
      <c r="AC22" s="169">
        <v>-323952.2</v>
      </c>
      <c r="AD22" s="170">
        <v>1061100</v>
      </c>
    </row>
    <row r="23" spans="2:30">
      <c r="G23" s="136" t="str">
        <f>"Gap"&amp;gap_angle&amp;"deg"</f>
        <v>Gap120deg</v>
      </c>
      <c r="AB23" s="169">
        <v>26788.65</v>
      </c>
      <c r="AC23" s="169">
        <v>-323952.2</v>
      </c>
      <c r="AD23" s="170">
        <v>18961.5</v>
      </c>
    </row>
    <row r="24" spans="2:30">
      <c r="AB24" s="169">
        <v>53577.15</v>
      </c>
      <c r="AC24" s="169">
        <v>-323952.2</v>
      </c>
      <c r="AD24" s="170">
        <v>13854.8</v>
      </c>
    </row>
    <row r="25" spans="2:30">
      <c r="AB25" s="169">
        <v>80365.5</v>
      </c>
      <c r="AC25" s="169">
        <v>-323952.2</v>
      </c>
      <c r="AD25" s="170">
        <v>5176.3900000000003</v>
      </c>
    </row>
    <row r="26" spans="2:30">
      <c r="B26" s="116" t="s">
        <v>214</v>
      </c>
      <c r="C26" s="116" t="s">
        <v>213</v>
      </c>
      <c r="D26" s="116" t="s">
        <v>212</v>
      </c>
      <c r="E26" s="116" t="s">
        <v>217</v>
      </c>
      <c r="F26" s="116" t="s">
        <v>348</v>
      </c>
      <c r="G26" s="116" t="s">
        <v>220</v>
      </c>
      <c r="H26" s="116" t="s">
        <v>211</v>
      </c>
      <c r="I26" s="115"/>
      <c r="J26" s="115"/>
      <c r="K26" s="116" t="s">
        <v>214</v>
      </c>
      <c r="L26" s="116" t="s">
        <v>213</v>
      </c>
      <c r="M26" s="116" t="s">
        <v>212</v>
      </c>
      <c r="N26" s="116" t="s">
        <v>280</v>
      </c>
      <c r="O26" s="116" t="s">
        <v>279</v>
      </c>
      <c r="P26" s="116" t="s">
        <v>278</v>
      </c>
      <c r="Q26" s="116" t="s">
        <v>277</v>
      </c>
      <c r="AB26" s="169">
        <v>107154</v>
      </c>
      <c r="AC26" s="169">
        <v>-323952.2</v>
      </c>
      <c r="AD26" s="170">
        <v>730.55499999999995</v>
      </c>
    </row>
    <row r="27" spans="2:30" ht="15.75">
      <c r="B27" s="106">
        <v>1</v>
      </c>
      <c r="C27" s="103" t="s">
        <v>198</v>
      </c>
      <c r="E27" s="104"/>
      <c r="F27" s="107" t="s">
        <v>86</v>
      </c>
      <c r="G27" s="104"/>
      <c r="H27" t="s">
        <v>210</v>
      </c>
      <c r="I27" s="138"/>
      <c r="K27" s="106">
        <v>1</v>
      </c>
      <c r="L27" s="103" t="s">
        <v>404</v>
      </c>
      <c r="N27" s="104"/>
      <c r="O27" s="104"/>
      <c r="P27" s="104"/>
      <c r="Q27" s="104"/>
      <c r="R27" t="s">
        <v>210</v>
      </c>
      <c r="AB27" s="169">
        <v>133942.5</v>
      </c>
      <c r="AC27" s="169">
        <v>-323952.2</v>
      </c>
      <c r="AD27" s="170">
        <v>580.76499999999999</v>
      </c>
    </row>
    <row r="28" spans="2:30" ht="15.75">
      <c r="B28" s="106">
        <f>B27+1</f>
        <v>2</v>
      </c>
      <c r="C28" s="105" t="s">
        <v>209</v>
      </c>
      <c r="D28" s="103" t="s">
        <v>128</v>
      </c>
      <c r="E28" s="107" cm="1">
        <f t="array" ref="E28">INDEX(N28:Q28,case_number)</f>
        <v>52.136423420119037</v>
      </c>
      <c r="F28" s="107" t="s">
        <v>86</v>
      </c>
      <c r="G28" s="107"/>
      <c r="H28" t="s">
        <v>208</v>
      </c>
      <c r="I28" s="139"/>
      <c r="K28" s="106">
        <v>2</v>
      </c>
      <c r="L28" s="105" t="s">
        <v>405</v>
      </c>
      <c r="M28" s="103" t="s">
        <v>128</v>
      </c>
      <c r="N28" s="107">
        <v>52.136423420119037</v>
      </c>
      <c r="O28" s="107">
        <v>52.136423420119037</v>
      </c>
      <c r="P28" s="107">
        <v>52.136423420119037</v>
      </c>
      <c r="Q28" s="107">
        <v>52.136423420119037</v>
      </c>
      <c r="R28" t="s">
        <v>208</v>
      </c>
      <c r="AB28" s="169">
        <v>0.12902715000000001</v>
      </c>
      <c r="AC28" s="169">
        <v>-302637.40000000002</v>
      </c>
      <c r="AD28" s="170">
        <v>3348000</v>
      </c>
    </row>
    <row r="29" spans="2:30" ht="15.75">
      <c r="B29" s="106"/>
      <c r="C29" s="105" t="s">
        <v>207</v>
      </c>
      <c r="D29" s="103" t="s">
        <v>206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205</v>
      </c>
      <c r="I29" s="139"/>
      <c r="K29" s="106"/>
      <c r="L29" s="105" t="s">
        <v>406</v>
      </c>
      <c r="M29" s="103" t="s">
        <v>206</v>
      </c>
      <c r="N29" s="107">
        <v>900</v>
      </c>
      <c r="O29" s="107">
        <v>900</v>
      </c>
      <c r="P29" s="107">
        <v>900</v>
      </c>
      <c r="Q29" s="107">
        <v>900</v>
      </c>
      <c r="R29" t="s">
        <v>205</v>
      </c>
      <c r="AB29" s="169">
        <v>26788.65</v>
      </c>
      <c r="AC29" s="169">
        <v>-302637.40000000002</v>
      </c>
      <c r="AD29" s="170">
        <v>232543</v>
      </c>
    </row>
    <row r="30" spans="2:30" ht="15.75">
      <c r="B30" s="106"/>
      <c r="C30" s="105" t="s">
        <v>204</v>
      </c>
      <c r="D30" s="103" t="s">
        <v>144</v>
      </c>
      <c r="E30" s="107" cm="1">
        <f t="array" ref="E30">INDEX(N30:Q30,case_number)</f>
        <v>1473.1579837133568</v>
      </c>
      <c r="F30" s="107" cm="1">
        <f t="array" aca="1" ref="F30" ca="1">INDIRECT(sheet_name&amp;"!bolt.As")</f>
        <v>1473.1493426522268</v>
      </c>
      <c r="G30" s="118">
        <f ca="1">(F30-E30)/E30</f>
        <v>-5.8656717239594296E-6</v>
      </c>
      <c r="I30" s="139"/>
      <c r="K30" s="106"/>
      <c r="L30" s="105" t="s">
        <v>407</v>
      </c>
      <c r="M30" s="103" t="s">
        <v>144</v>
      </c>
      <c r="N30" s="107">
        <v>1473.1579837133568</v>
      </c>
      <c r="O30" s="107">
        <v>1473.1579837133568</v>
      </c>
      <c r="P30" s="107">
        <v>1473.1579837133568</v>
      </c>
      <c r="Q30" s="107">
        <v>1473.1579837133568</v>
      </c>
      <c r="R30" t="s">
        <v>408</v>
      </c>
      <c r="AB30" s="169">
        <v>53577.15</v>
      </c>
      <c r="AC30" s="169">
        <v>-302637.40000000002</v>
      </c>
      <c r="AD30" s="170">
        <v>235453</v>
      </c>
    </row>
    <row r="31" spans="2:30" ht="15.75">
      <c r="B31" s="106">
        <f>B28+1</f>
        <v>3</v>
      </c>
      <c r="C31" s="103" t="s">
        <v>198</v>
      </c>
      <c r="D31" s="103" t="s">
        <v>128</v>
      </c>
      <c r="E31" s="107" cm="1">
        <f t="array" ref="E31">INDEX(N31:Q31,case_number)</f>
        <v>928</v>
      </c>
      <c r="F31" s="107" cm="1">
        <f t="array" aca="1" ref="F31" ca="1">INDIRECT(sheet_name&amp;"!bolt.pretension")</f>
        <v>928</v>
      </c>
      <c r="G31" s="118">
        <f ca="1">(F31-E31)/E31</f>
        <v>0</v>
      </c>
      <c r="H31" t="s">
        <v>203</v>
      </c>
      <c r="I31" s="138"/>
      <c r="K31" s="106">
        <v>3</v>
      </c>
      <c r="L31" s="103" t="s">
        <v>404</v>
      </c>
      <c r="M31" s="103" t="s">
        <v>128</v>
      </c>
      <c r="N31" s="107">
        <v>928</v>
      </c>
      <c r="O31" s="107">
        <v>928</v>
      </c>
      <c r="P31" s="107">
        <v>928</v>
      </c>
      <c r="Q31" s="107">
        <v>928</v>
      </c>
      <c r="R31" t="s">
        <v>203</v>
      </c>
      <c r="AB31" s="169">
        <v>80365.5</v>
      </c>
      <c r="AC31" s="169">
        <v>-302637.40000000002</v>
      </c>
      <c r="AD31" s="170">
        <v>111586</v>
      </c>
    </row>
    <row r="32" spans="2:30" ht="15.75">
      <c r="B32" s="106"/>
      <c r="C32" s="103" t="s">
        <v>202</v>
      </c>
      <c r="D32" s="103" t="s">
        <v>128</v>
      </c>
      <c r="E32" s="107" cm="1">
        <f t="array" ref="E32">INDEX(N32:Q32,case_number)</f>
        <v>1066.2717486117276</v>
      </c>
      <c r="F32" s="107" t="s">
        <v>86</v>
      </c>
      <c r="G32" s="107"/>
      <c r="I32" s="138"/>
      <c r="K32" s="106"/>
      <c r="L32" s="103" t="s">
        <v>409</v>
      </c>
      <c r="M32" s="103" t="s">
        <v>128</v>
      </c>
      <c r="N32" s="107">
        <v>1066.2717486117276</v>
      </c>
      <c r="O32" s="107">
        <v>1066.2717486117276</v>
      </c>
      <c r="P32" s="107">
        <v>1066.2717486117276</v>
      </c>
      <c r="Q32" s="107">
        <v>1066.2717486117276</v>
      </c>
      <c r="R32" t="s">
        <v>410</v>
      </c>
      <c r="AB32" s="169">
        <v>107154</v>
      </c>
      <c r="AC32" s="169">
        <v>-302637.40000000002</v>
      </c>
      <c r="AD32" s="170">
        <v>40517.300000000003</v>
      </c>
    </row>
    <row r="33" spans="2:30" ht="15.75">
      <c r="B33" s="106"/>
      <c r="C33" s="103" t="s">
        <v>201</v>
      </c>
      <c r="D33" s="103" t="s">
        <v>123</v>
      </c>
      <c r="E33" s="109" cm="1">
        <f t="array" ref="E33">INDEX(N33:Q33,case_number)</f>
        <v>0.03</v>
      </c>
      <c r="F33" s="109" t="s">
        <v>86</v>
      </c>
      <c r="G33" s="109"/>
      <c r="I33" s="138"/>
      <c r="K33" s="106"/>
      <c r="L33" s="103" t="s">
        <v>411</v>
      </c>
      <c r="M33" s="103" t="s">
        <v>123</v>
      </c>
      <c r="N33" s="109">
        <v>0.03</v>
      </c>
      <c r="O33" s="109">
        <v>0.03</v>
      </c>
      <c r="P33" s="109">
        <v>0.03</v>
      </c>
      <c r="Q33" s="109">
        <v>0.03</v>
      </c>
      <c r="R33" t="s">
        <v>412</v>
      </c>
      <c r="AB33" s="169">
        <v>133942.5</v>
      </c>
      <c r="AC33" s="169">
        <v>-302637.40000000002</v>
      </c>
      <c r="AD33" s="170">
        <v>7179.93</v>
      </c>
    </row>
    <row r="34" spans="2:30" ht="15.75">
      <c r="B34" s="106"/>
      <c r="C34" s="103" t="s">
        <v>200</v>
      </c>
      <c r="D34" s="103" t="s">
        <v>128</v>
      </c>
      <c r="E34" s="107" cm="1">
        <f t="array" ref="E34">INDEX(N34:Q34,case_number)</f>
        <v>1042.7284684023807</v>
      </c>
      <c r="F34" s="107" t="s">
        <v>86</v>
      </c>
      <c r="G34" s="107"/>
      <c r="H34" t="s">
        <v>199</v>
      </c>
      <c r="I34" s="138"/>
      <c r="K34" s="106"/>
      <c r="L34" s="103" t="s">
        <v>413</v>
      </c>
      <c r="M34" s="103" t="s">
        <v>128</v>
      </c>
      <c r="N34" s="107">
        <v>1042.7284684023807</v>
      </c>
      <c r="O34" s="107">
        <v>1042.7284684023807</v>
      </c>
      <c r="P34" s="107">
        <v>1042.7284684023807</v>
      </c>
      <c r="Q34" s="107">
        <v>1042.7284684023807</v>
      </c>
      <c r="R34" t="s">
        <v>414</v>
      </c>
      <c r="AB34" s="169">
        <v>160731</v>
      </c>
      <c r="AC34" s="169">
        <v>-302637.40000000002</v>
      </c>
      <c r="AD34" s="170">
        <v>1227.22</v>
      </c>
    </row>
    <row r="35" spans="2:30" ht="15.75">
      <c r="B35" s="131">
        <f>B31+1</f>
        <v>4</v>
      </c>
      <c r="C35" s="130" t="s">
        <v>276</v>
      </c>
      <c r="D35" s="130" t="s">
        <v>128</v>
      </c>
      <c r="E35" s="129" cm="1">
        <f t="array" ref="E35">INDEX(N35:Q35,case_number)</f>
        <v>962.07623087841057</v>
      </c>
      <c r="F35" s="129" t="s">
        <v>86</v>
      </c>
      <c r="G35" s="129"/>
      <c r="H35" s="132" t="s">
        <v>197</v>
      </c>
      <c r="I35" s="140"/>
      <c r="J35" s="132"/>
      <c r="K35" s="131">
        <v>4</v>
      </c>
      <c r="L35" s="130" t="s">
        <v>404</v>
      </c>
      <c r="M35" s="130" t="s">
        <v>128</v>
      </c>
      <c r="N35" s="129">
        <v>962.07623087841057</v>
      </c>
      <c r="O35" s="129">
        <v>962.07623087841057</v>
      </c>
      <c r="P35" s="129">
        <v>962.07623087841057</v>
      </c>
      <c r="Q35" s="129">
        <v>962.07623087841057</v>
      </c>
      <c r="R35" t="s">
        <v>415</v>
      </c>
      <c r="AB35" s="169">
        <v>187519.5</v>
      </c>
      <c r="AC35" s="169">
        <v>-302637.40000000002</v>
      </c>
      <c r="AD35" s="170">
        <v>435.755</v>
      </c>
    </row>
    <row r="36" spans="2:30" ht="15.75">
      <c r="B36" s="106"/>
      <c r="C36" s="105" t="s">
        <v>196</v>
      </c>
      <c r="D36" s="103" t="s">
        <v>275</v>
      </c>
      <c r="E36" s="114" cm="1">
        <f t="array" ref="E36">INDEX(N36:Q36,case_number)</f>
        <v>1.032511877407802E-9</v>
      </c>
      <c r="F36" s="114" cm="1">
        <f t="array" aca="1" ref="F36" ca="1">1/(INDIRECT(sheet_name&amp;"!bolt.axial_stiffness")*1000000)</f>
        <v>1.0325256451799115E-9</v>
      </c>
      <c r="G36" s="118">
        <f ca="1">(F36-E36)/E36</f>
        <v>1.3334250589028948E-5</v>
      </c>
      <c r="I36" s="141"/>
      <c r="J36" s="142"/>
      <c r="K36" s="106"/>
      <c r="L36" s="105" t="s">
        <v>416</v>
      </c>
      <c r="M36" s="103" t="s">
        <v>275</v>
      </c>
      <c r="N36" s="114">
        <v>1.032511877407802E-9</v>
      </c>
      <c r="O36" s="114">
        <v>1.032511877407802E-9</v>
      </c>
      <c r="P36" s="114">
        <v>1.032511877407802E-9</v>
      </c>
      <c r="Q36" s="114">
        <v>1.032511877407802E-9</v>
      </c>
      <c r="R36" t="s">
        <v>417</v>
      </c>
      <c r="AB36" s="169">
        <v>214308</v>
      </c>
      <c r="AC36" s="169">
        <v>-302637.40000000002</v>
      </c>
      <c r="AD36" s="170">
        <v>10.865</v>
      </c>
    </row>
    <row r="37" spans="2:30" ht="15.75">
      <c r="B37" s="106"/>
      <c r="C37" s="105" t="s">
        <v>195</v>
      </c>
      <c r="D37" s="103" t="s">
        <v>275</v>
      </c>
      <c r="E37" s="114" cm="1">
        <f t="array" ref="E37">INDEX(N37:Q37,case_number)</f>
        <v>1.3533583596249607E-10</v>
      </c>
      <c r="F37" s="114" cm="1">
        <f t="array" aca="1" ref="F37" ca="1">1/(INDIRECT(sheet_name&amp;"!clamped_parts_stiffness")*1000000)</f>
        <v>1.3533583596249607E-10</v>
      </c>
      <c r="G37" s="118">
        <f ca="1">(F37-E37)/E37</f>
        <v>0</v>
      </c>
      <c r="H37" s="147"/>
      <c r="I37" s="141"/>
      <c r="J37" s="142"/>
      <c r="K37" s="106"/>
      <c r="L37" s="105" t="s">
        <v>418</v>
      </c>
      <c r="M37" s="103" t="s">
        <v>275</v>
      </c>
      <c r="N37" s="114">
        <v>1.3533583596249607E-10</v>
      </c>
      <c r="O37" s="114">
        <v>1.3533583596249607E-10</v>
      </c>
      <c r="P37" s="114">
        <v>1.3533583596249607E-10</v>
      </c>
      <c r="Q37" s="114">
        <v>1.3533583596249607E-10</v>
      </c>
      <c r="R37" t="s">
        <v>417</v>
      </c>
      <c r="AB37" s="169">
        <v>0.12902715000000001</v>
      </c>
      <c r="AC37" s="169">
        <v>-281322.59999999998</v>
      </c>
      <c r="AD37" s="170">
        <v>5872260</v>
      </c>
    </row>
    <row r="38" spans="2:30">
      <c r="B38" s="106"/>
      <c r="C38" s="105" t="s">
        <v>194</v>
      </c>
      <c r="D38" s="103" t="s">
        <v>123</v>
      </c>
      <c r="E38" s="109" cm="1">
        <f t="array" ref="E38">INDEX(N38:Q38,case_number)</f>
        <v>0.11588483191179921</v>
      </c>
      <c r="F38" s="109" cm="1">
        <f t="array" aca="1" ref="F38" ca="1">INDIRECT(sheet_name&amp;"!bolt.axial_stiffness")/(INDIRECT(sheet_name&amp;"!bolt.axial_stiffness")+INDIRECT(sheet_name&amp;"!clamped_parts_stiffness"))</f>
        <v>0.11588346576009163</v>
      </c>
      <c r="G38" s="118">
        <f ca="1">(F38-E38)/E38</f>
        <v>-1.1788874221429488E-5</v>
      </c>
      <c r="H38" s="147"/>
      <c r="I38" s="141"/>
      <c r="J38" s="142"/>
      <c r="K38" s="106"/>
      <c r="L38" s="105" t="s">
        <v>194</v>
      </c>
      <c r="M38" s="103" t="s">
        <v>123</v>
      </c>
      <c r="N38" s="109">
        <v>0.11588483191179921</v>
      </c>
      <c r="O38" s="109">
        <v>0.11588483191179921</v>
      </c>
      <c r="P38" s="109">
        <v>0.11588483191179921</v>
      </c>
      <c r="Q38" s="109">
        <v>0.11588483191179921</v>
      </c>
      <c r="R38" t="s">
        <v>417</v>
      </c>
      <c r="AB38" s="169">
        <v>26788.65</v>
      </c>
      <c r="AC38" s="169">
        <v>-281322.59999999998</v>
      </c>
      <c r="AD38" s="170">
        <v>316034</v>
      </c>
    </row>
    <row r="39" spans="2:30" ht="15.75">
      <c r="B39" s="106">
        <f>B35+1</f>
        <v>5</v>
      </c>
      <c r="C39" s="105" t="s">
        <v>193</v>
      </c>
      <c r="D39" s="103" t="s">
        <v>128</v>
      </c>
      <c r="E39" s="108" cm="1">
        <f t="array" ref="E39">INDEX(N39:Q39,case_number)</f>
        <v>28.515814103851049</v>
      </c>
      <c r="F39" s="108" t="s">
        <v>86</v>
      </c>
      <c r="G39" s="108"/>
      <c r="I39" s="141"/>
      <c r="J39" s="142"/>
      <c r="K39" s="106">
        <v>5</v>
      </c>
      <c r="L39" s="105" t="s">
        <v>419</v>
      </c>
      <c r="M39" s="103" t="s">
        <v>128</v>
      </c>
      <c r="N39" s="108">
        <v>28.515814103851049</v>
      </c>
      <c r="O39" s="108">
        <v>28.515814103851049</v>
      </c>
      <c r="P39" s="108">
        <v>28.515814103851049</v>
      </c>
      <c r="Q39" s="108">
        <v>28.515814103851049</v>
      </c>
      <c r="R39" t="s">
        <v>417</v>
      </c>
      <c r="AB39" s="169">
        <v>53577.15</v>
      </c>
      <c r="AC39" s="169">
        <v>-281322.59999999998</v>
      </c>
      <c r="AD39" s="170">
        <v>234412</v>
      </c>
    </row>
    <row r="40" spans="2:30" ht="15.75">
      <c r="B40" s="106"/>
      <c r="C40" s="105" t="s">
        <v>192</v>
      </c>
      <c r="D40" s="103" t="s">
        <v>274</v>
      </c>
      <c r="E40" s="107" cm="1">
        <f t="array" ref="E40">INDEX(N40:Q40,case_number)</f>
        <v>500</v>
      </c>
      <c r="F40" s="107" t="s">
        <v>86</v>
      </c>
      <c r="G40" s="107"/>
      <c r="I40" s="141"/>
      <c r="J40" s="142"/>
      <c r="K40" s="106"/>
      <c r="L40" s="105" t="s">
        <v>420</v>
      </c>
      <c r="M40" s="103" t="s">
        <v>126</v>
      </c>
      <c r="N40" s="107">
        <v>500</v>
      </c>
      <c r="O40" s="107">
        <v>500</v>
      </c>
      <c r="P40" s="107">
        <v>500</v>
      </c>
      <c r="Q40" s="107">
        <v>500</v>
      </c>
      <c r="R40" t="s">
        <v>417</v>
      </c>
      <c r="AB40" s="169">
        <v>80365.5</v>
      </c>
      <c r="AC40" s="169">
        <v>-281322.59999999998</v>
      </c>
      <c r="AD40" s="170">
        <v>95883.4</v>
      </c>
    </row>
    <row r="41" spans="2:30" ht="15.75">
      <c r="B41" s="106">
        <f>B39+1</f>
        <v>6</v>
      </c>
      <c r="C41" s="103" t="s">
        <v>191</v>
      </c>
      <c r="D41" s="103" t="s">
        <v>274</v>
      </c>
      <c r="E41" s="107" cm="1">
        <f t="array" ref="E41">INDEX(N41:Q41,case_number)</f>
        <v>33.30212829607494</v>
      </c>
      <c r="F41" s="107" t="s">
        <v>86</v>
      </c>
      <c r="G41" s="107"/>
      <c r="H41" t="s">
        <v>190</v>
      </c>
      <c r="I41" s="143"/>
      <c r="J41" s="142"/>
      <c r="K41" s="106">
        <v>6</v>
      </c>
      <c r="L41" s="103" t="s">
        <v>421</v>
      </c>
      <c r="M41" s="103" t="s">
        <v>126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">
        <v>422</v>
      </c>
      <c r="AB41" s="169">
        <v>107154</v>
      </c>
      <c r="AC41" s="169">
        <v>-281322.59999999998</v>
      </c>
      <c r="AD41" s="170">
        <v>39802.5</v>
      </c>
    </row>
    <row r="42" spans="2:30" ht="15.75">
      <c r="B42" s="106">
        <f>B41+1</f>
        <v>7</v>
      </c>
      <c r="C42" s="103" t="s">
        <v>189</v>
      </c>
      <c r="D42" s="103" t="s">
        <v>128</v>
      </c>
      <c r="E42" s="111" cm="1">
        <f t="array" ref="E42">INDEX(N42:Q42,case_number)</f>
        <v>1126.9658575407177</v>
      </c>
      <c r="F42" s="111" t="s">
        <v>86</v>
      </c>
      <c r="G42" s="111"/>
      <c r="I42" s="143"/>
      <c r="J42" s="142"/>
      <c r="K42" s="106">
        <v>7</v>
      </c>
      <c r="L42" s="103" t="s">
        <v>423</v>
      </c>
      <c r="M42" s="103" t="s">
        <v>128</v>
      </c>
      <c r="N42" s="111">
        <v>1126.9658575407177</v>
      </c>
      <c r="O42" s="111">
        <v>1126.9658575407177</v>
      </c>
      <c r="P42" s="111">
        <v>1126.9658575407177</v>
      </c>
      <c r="Q42" s="111">
        <v>1126.9658575407177</v>
      </c>
      <c r="R42" t="s">
        <v>417</v>
      </c>
      <c r="AB42" s="169">
        <v>133942.5</v>
      </c>
      <c r="AC42" s="169">
        <v>-281322.59999999998</v>
      </c>
      <c r="AD42" s="170">
        <v>17664.900000000001</v>
      </c>
    </row>
    <row r="43" spans="2:30" ht="15.75">
      <c r="B43" s="106">
        <f>B42+1</f>
        <v>8</v>
      </c>
      <c r="C43" s="103" t="s">
        <v>188</v>
      </c>
      <c r="D43" s="103" t="s">
        <v>184</v>
      </c>
      <c r="E43" s="107" cm="1">
        <f t="array" ref="E43">INDEX(N43:Q43,case_number)</f>
        <v>673.94369199999994</v>
      </c>
      <c r="F43" s="107" t="s">
        <v>86</v>
      </c>
      <c r="G43" s="107"/>
      <c r="H43" t="s">
        <v>187</v>
      </c>
      <c r="I43" s="143"/>
      <c r="J43" s="142"/>
      <c r="K43" s="106">
        <v>8</v>
      </c>
      <c r="L43" s="103" t="s">
        <v>424</v>
      </c>
      <c r="M43" s="103" t="s">
        <v>184</v>
      </c>
      <c r="N43" s="107">
        <v>673.94369199999994</v>
      </c>
      <c r="O43" s="107">
        <v>673.94369199999994</v>
      </c>
      <c r="P43" s="107">
        <v>673.94369199999994</v>
      </c>
      <c r="Q43" s="107">
        <v>673.94369199999994</v>
      </c>
      <c r="R43" t="s">
        <v>187</v>
      </c>
      <c r="AB43" s="169">
        <v>160731</v>
      </c>
      <c r="AC43" s="169">
        <v>-281322.59999999998</v>
      </c>
      <c r="AD43" s="170">
        <v>7178.63</v>
      </c>
    </row>
    <row r="44" spans="2:30" ht="15.75">
      <c r="B44" s="106">
        <f>B43+1</f>
        <v>9</v>
      </c>
      <c r="C44" s="103" t="s">
        <v>186</v>
      </c>
      <c r="D44" s="103" t="s">
        <v>184</v>
      </c>
      <c r="E44" s="107" cm="1">
        <f t="array" ref="E44">INDEX(N44:Q44,case_number)</f>
        <v>665.47980800000005</v>
      </c>
      <c r="F44" s="107" t="s">
        <v>86</v>
      </c>
      <c r="G44" s="107"/>
      <c r="I44" s="143"/>
      <c r="J44" s="142"/>
      <c r="K44" s="106">
        <v>9</v>
      </c>
      <c r="L44" s="103" t="s">
        <v>425</v>
      </c>
      <c r="M44" s="103" t="s">
        <v>184</v>
      </c>
      <c r="N44" s="107">
        <v>665.47980800000005</v>
      </c>
      <c r="O44" s="107">
        <v>665.47980800000005</v>
      </c>
      <c r="P44" s="107">
        <v>665.47980800000005</v>
      </c>
      <c r="Q44" s="107">
        <v>665.47980800000005</v>
      </c>
      <c r="R44" t="s">
        <v>417</v>
      </c>
      <c r="AB44" s="169">
        <v>187519.5</v>
      </c>
      <c r="AC44" s="169">
        <v>-281322.59999999998</v>
      </c>
      <c r="AD44" s="170">
        <v>3570.11</v>
      </c>
    </row>
    <row r="45" spans="2:30" ht="15.75">
      <c r="B45" s="106">
        <f>B44+1</f>
        <v>10</v>
      </c>
      <c r="C45" s="103" t="s">
        <v>185</v>
      </c>
      <c r="D45" s="103" t="s">
        <v>184</v>
      </c>
      <c r="E45" s="107" cm="1">
        <f t="array" ref="E45">INDEX(N45:Q45,case_number)</f>
        <v>-673.94369199999994</v>
      </c>
      <c r="F45" s="107" t="s">
        <v>86</v>
      </c>
      <c r="G45" s="107"/>
      <c r="I45" s="143"/>
      <c r="J45" s="142"/>
      <c r="K45" s="106">
        <v>10</v>
      </c>
      <c r="L45" s="103" t="s">
        <v>426</v>
      </c>
      <c r="M45" s="103" t="s">
        <v>184</v>
      </c>
      <c r="N45" s="107">
        <v>-673.94369199999994</v>
      </c>
      <c r="O45" s="107">
        <v>-673.94369199999994</v>
      </c>
      <c r="P45" s="107">
        <v>-673.94369199999994</v>
      </c>
      <c r="Q45" s="107">
        <v>-673.94369199999994</v>
      </c>
      <c r="R45" t="s">
        <v>417</v>
      </c>
      <c r="AB45" s="169">
        <v>214308</v>
      </c>
      <c r="AC45" s="169">
        <v>-281322.59999999998</v>
      </c>
      <c r="AD45" s="170">
        <v>317.21499999999997</v>
      </c>
    </row>
    <row r="46" spans="2:30" ht="15.75">
      <c r="B46" s="106"/>
      <c r="C46" s="103" t="s">
        <v>183</v>
      </c>
      <c r="D46" s="103" t="s">
        <v>128</v>
      </c>
      <c r="E46" s="111" cm="1">
        <f t="array" ref="E46">INDEX(N46:Q46,case_number)</f>
        <v>1714.5018931681363</v>
      </c>
      <c r="F46" s="111" t="s">
        <v>86</v>
      </c>
      <c r="G46" s="111"/>
      <c r="I46" s="143"/>
      <c r="J46" s="142"/>
      <c r="K46" s="106"/>
      <c r="L46" s="103" t="s">
        <v>427</v>
      </c>
      <c r="M46" s="103" t="s">
        <v>128</v>
      </c>
      <c r="N46" s="111">
        <v>1714.5018931681363</v>
      </c>
      <c r="O46" s="111">
        <v>1714.5018931681363</v>
      </c>
      <c r="P46" s="111">
        <v>1714.5018931681363</v>
      </c>
      <c r="Q46" s="111">
        <v>1714.5018931681363</v>
      </c>
      <c r="R46" t="s">
        <v>417</v>
      </c>
      <c r="AB46" s="169">
        <v>241096.5</v>
      </c>
      <c r="AC46" s="169">
        <v>-281322.59999999998</v>
      </c>
      <c r="AD46" s="170">
        <v>56.325000000000003</v>
      </c>
    </row>
    <row r="47" spans="2:30" ht="15.75">
      <c r="B47" s="106">
        <f>B45+1</f>
        <v>11</v>
      </c>
      <c r="C47" s="103" t="s">
        <v>182</v>
      </c>
      <c r="D47" s="103" t="s">
        <v>123</v>
      </c>
      <c r="E47" s="104"/>
      <c r="F47" s="110" t="s">
        <v>86</v>
      </c>
      <c r="G47" s="104"/>
      <c r="H47" t="s">
        <v>308</v>
      </c>
      <c r="I47" s="143"/>
      <c r="J47" s="142"/>
      <c r="K47" s="106">
        <v>11</v>
      </c>
      <c r="L47" s="103" t="s">
        <v>428</v>
      </c>
      <c r="M47" s="103" t="s">
        <v>123</v>
      </c>
      <c r="N47" s="104"/>
      <c r="O47" s="104"/>
      <c r="P47" s="104"/>
      <c r="Q47" s="104"/>
      <c r="R47" t="s">
        <v>308</v>
      </c>
      <c r="AB47" s="169">
        <v>0.12902715000000001</v>
      </c>
      <c r="AC47" s="169">
        <v>-260007.8</v>
      </c>
      <c r="AD47" s="170">
        <v>9471380</v>
      </c>
    </row>
    <row r="48" spans="2:30" ht="15.75">
      <c r="B48" s="106"/>
      <c r="C48" s="105" t="s">
        <v>181</v>
      </c>
      <c r="D48" s="103" t="s">
        <v>180</v>
      </c>
      <c r="E48" s="110" cm="1">
        <f t="array" ref="E48">INDEX(N48:Q48,case_number)</f>
        <v>120</v>
      </c>
      <c r="F48" s="110" cm="1">
        <f t="array" aca="1" ref="F48" ca="1">INDIRECT(sheet_name&amp;"!gap.angle")</f>
        <v>119.99999999999999</v>
      </c>
      <c r="G48" s="118">
        <f t="shared" ref="G48:G53" ca="1" si="0">(F48-E48)/E48</f>
        <v>-1.1842378929335003E-16</v>
      </c>
      <c r="I48" s="141"/>
      <c r="J48" s="142"/>
      <c r="K48" s="106"/>
      <c r="L48" s="105" t="s">
        <v>429</v>
      </c>
      <c r="M48" s="103" t="s">
        <v>180</v>
      </c>
      <c r="N48" s="110">
        <v>30</v>
      </c>
      <c r="O48" s="110">
        <v>60</v>
      </c>
      <c r="P48" s="110">
        <v>90</v>
      </c>
      <c r="Q48" s="110">
        <v>120</v>
      </c>
      <c r="R48" t="s">
        <v>417</v>
      </c>
      <c r="AB48" s="169">
        <v>26788.65</v>
      </c>
      <c r="AC48" s="169">
        <v>-260007.8</v>
      </c>
      <c r="AD48" s="170">
        <v>675005</v>
      </c>
    </row>
    <row r="49" spans="2:30" ht="15.75">
      <c r="B49" s="106"/>
      <c r="C49" s="103" t="s">
        <v>179</v>
      </c>
      <c r="D49" s="103" t="s">
        <v>173</v>
      </c>
      <c r="E49" s="109" cm="1">
        <f t="array" ref="E49">INDEX(N49:Q49,case_number)</f>
        <v>7.8539816339744828</v>
      </c>
      <c r="F49" s="109" cm="1">
        <f t="array" aca="1" ref="F49" ca="1">INDIRECT(sheet_name&amp;"!gap.L")/1000</f>
        <v>7.8539816339744819</v>
      </c>
      <c r="G49" s="118">
        <f t="shared" ca="1" si="0"/>
        <v>-1.1308638867425837E-16</v>
      </c>
      <c r="H49" t="s">
        <v>321</v>
      </c>
      <c r="I49" s="143"/>
      <c r="J49" s="142"/>
      <c r="K49" s="106"/>
      <c r="L49" s="103" t="s">
        <v>430</v>
      </c>
      <c r="M49" s="103" t="s">
        <v>173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">
        <v>321</v>
      </c>
      <c r="AB49" s="169">
        <v>53577.15</v>
      </c>
      <c r="AC49" s="169">
        <v>-260007.8</v>
      </c>
      <c r="AD49" s="170">
        <v>517438</v>
      </c>
    </row>
    <row r="50" spans="2:30">
      <c r="B50" s="106"/>
      <c r="C50" s="103" t="s">
        <v>93</v>
      </c>
      <c r="D50" s="103" t="s">
        <v>173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0"/>
        <v>0</v>
      </c>
      <c r="I50" s="143"/>
      <c r="J50" s="142"/>
      <c r="K50" s="106"/>
      <c r="L50" s="103" t="s">
        <v>93</v>
      </c>
      <c r="M50" s="103" t="s">
        <v>173</v>
      </c>
      <c r="N50" s="109">
        <v>7.5</v>
      </c>
      <c r="O50" s="109">
        <v>7.5</v>
      </c>
      <c r="P50" s="109">
        <v>7.5</v>
      </c>
      <c r="Q50" s="109">
        <v>7.5</v>
      </c>
      <c r="R50" t="s">
        <v>417</v>
      </c>
      <c r="AB50" s="169">
        <v>80365.5</v>
      </c>
      <c r="AC50" s="169">
        <v>-260007.8</v>
      </c>
      <c r="AD50" s="170">
        <v>198094</v>
      </c>
    </row>
    <row r="51" spans="2:30" ht="15.75">
      <c r="B51" s="106"/>
      <c r="C51" s="103" t="s">
        <v>178</v>
      </c>
      <c r="D51" s="103" t="s">
        <v>177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0"/>
        <v>0</v>
      </c>
      <c r="I51" s="143"/>
      <c r="J51" s="142"/>
      <c r="K51" s="106"/>
      <c r="L51" s="103" t="s">
        <v>431</v>
      </c>
      <c r="M51" s="103" t="s">
        <v>177</v>
      </c>
      <c r="N51" s="108">
        <v>1.4</v>
      </c>
      <c r="O51" s="108">
        <v>1.4</v>
      </c>
      <c r="P51" s="108">
        <v>1.4</v>
      </c>
      <c r="Q51" s="108">
        <v>1.4</v>
      </c>
      <c r="R51" t="s">
        <v>417</v>
      </c>
      <c r="AB51" s="169">
        <v>107154</v>
      </c>
      <c r="AC51" s="169">
        <v>-260007.8</v>
      </c>
      <c r="AD51" s="170">
        <v>50147</v>
      </c>
    </row>
    <row r="52" spans="2:30" ht="15.75">
      <c r="B52" s="106">
        <f>B47+1</f>
        <v>12</v>
      </c>
      <c r="C52" s="103" t="s">
        <v>176</v>
      </c>
      <c r="D52" s="103" t="s">
        <v>126</v>
      </c>
      <c r="E52" s="109" cm="1">
        <f t="array" ref="E52">INDEX(N52:Q52,case_number)</f>
        <v>2.1533230192475301</v>
      </c>
      <c r="F52" s="109" cm="1">
        <f t="array" aca="1" ref="F52" ca="1">INDIRECT(sheet_name&amp;"!gap.k_mean")</f>
        <v>2.1533230192475297</v>
      </c>
      <c r="G52" s="118">
        <f t="shared" ca="1" si="0"/>
        <v>-2.0623436701347657E-16</v>
      </c>
      <c r="I52" s="143"/>
      <c r="J52" s="142"/>
      <c r="K52" s="106">
        <v>12</v>
      </c>
      <c r="L52" s="103" t="s">
        <v>432</v>
      </c>
      <c r="M52" s="103" t="s">
        <v>126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">
        <v>417</v>
      </c>
      <c r="AB52" s="169">
        <v>133942.5</v>
      </c>
      <c r="AC52" s="169">
        <v>-260007.8</v>
      </c>
      <c r="AD52" s="170">
        <v>19212.400000000001</v>
      </c>
    </row>
    <row r="53" spans="2:30" ht="15.75">
      <c r="B53" s="106">
        <f>B52+1</f>
        <v>13</v>
      </c>
      <c r="C53" s="103" t="s">
        <v>175</v>
      </c>
      <c r="D53" s="103" t="s">
        <v>123</v>
      </c>
      <c r="E53" s="109" cm="1">
        <f t="array" ref="E53">INDEX(N53:Q53,case_number)</f>
        <v>0.44426272750754409</v>
      </c>
      <c r="F53" s="109" cm="1">
        <f t="array" aca="1" ref="F53" ca="1">INDIRECT(sheet_name&amp;"!gap.COV")</f>
        <v>0.44426272750754392</v>
      </c>
      <c r="G53" s="118">
        <f t="shared" ca="1" si="0"/>
        <v>-3.7485353459219818E-16</v>
      </c>
      <c r="I53" s="143"/>
      <c r="J53" s="142"/>
      <c r="K53" s="106">
        <v>13</v>
      </c>
      <c r="L53" s="103" t="s">
        <v>433</v>
      </c>
      <c r="M53" s="103" t="s">
        <v>123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">
        <v>417</v>
      </c>
      <c r="AB53" s="169">
        <v>160731</v>
      </c>
      <c r="AC53" s="169">
        <v>-260007.8</v>
      </c>
      <c r="AD53" s="170">
        <v>11170.4</v>
      </c>
    </row>
    <row r="54" spans="2:30" ht="15.75">
      <c r="B54" s="106"/>
      <c r="C54" s="103" t="s">
        <v>174</v>
      </c>
      <c r="D54" s="103" t="s">
        <v>173</v>
      </c>
      <c r="E54" s="109" cm="1">
        <f t="array" ref="E54">INDEX(N54:Q54,case_number)</f>
        <v>1.9634954084936205</v>
      </c>
      <c r="F54" s="109" t="s">
        <v>86</v>
      </c>
      <c r="G54" s="109"/>
      <c r="I54" s="143"/>
      <c r="J54" s="142"/>
      <c r="K54" s="106"/>
      <c r="L54" s="103" t="s">
        <v>434</v>
      </c>
      <c r="M54" s="103" t="s">
        <v>173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">
        <v>417</v>
      </c>
      <c r="AB54" s="169">
        <v>187519.5</v>
      </c>
      <c r="AC54" s="169">
        <v>-260007.8</v>
      </c>
      <c r="AD54" s="170">
        <v>6492.5</v>
      </c>
    </row>
    <row r="55" spans="2:30" ht="15.75">
      <c r="B55" s="106">
        <f>B53+1</f>
        <v>14</v>
      </c>
      <c r="C55" s="103" t="s">
        <v>172</v>
      </c>
      <c r="D55" s="103" t="s">
        <v>126</v>
      </c>
      <c r="E55" s="109" cm="1">
        <f t="array" ref="E55">INDEX(N55:Q55,case_number)</f>
        <v>1.9617469257392748</v>
      </c>
      <c r="F55" s="109" t="s">
        <v>86</v>
      </c>
      <c r="G55" s="109"/>
      <c r="I55" s="143"/>
      <c r="J55" s="142"/>
      <c r="K55" s="106">
        <v>14</v>
      </c>
      <c r="L55" s="103" t="s">
        <v>435</v>
      </c>
      <c r="M55" s="103" t="s">
        <v>126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">
        <v>417</v>
      </c>
      <c r="AB55" s="169">
        <v>214308</v>
      </c>
      <c r="AC55" s="169">
        <v>-260007.8</v>
      </c>
      <c r="AD55" s="170">
        <v>2061.4299999999998</v>
      </c>
    </row>
    <row r="56" spans="2:30" ht="15.75">
      <c r="B56" s="106">
        <f>B55+1</f>
        <v>15</v>
      </c>
      <c r="C56" s="103" t="s">
        <v>171</v>
      </c>
      <c r="D56" s="103" t="s">
        <v>126</v>
      </c>
      <c r="E56" s="109" cm="1">
        <f t="array" ref="E56">INDEX(N56:Q56,case_number)</f>
        <v>2.942620388608912</v>
      </c>
      <c r="F56" s="109" t="s">
        <v>86</v>
      </c>
      <c r="G56" s="109"/>
      <c r="I56" s="143"/>
      <c r="J56" s="142"/>
      <c r="K56" s="106">
        <v>15</v>
      </c>
      <c r="L56" s="103" t="s">
        <v>436</v>
      </c>
      <c r="M56" s="103" t="s">
        <v>126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">
        <v>417</v>
      </c>
      <c r="AB56" s="169">
        <v>241096.5</v>
      </c>
      <c r="AC56" s="169">
        <v>-260007.8</v>
      </c>
      <c r="AD56" s="170">
        <v>1137.06</v>
      </c>
    </row>
    <row r="57" spans="2:30" ht="15.75">
      <c r="B57" s="106">
        <f>B56+1</f>
        <v>16</v>
      </c>
      <c r="C57" s="105" t="s">
        <v>170</v>
      </c>
      <c r="D57" s="103"/>
      <c r="E57" s="109" cm="1">
        <f t="array" ref="E57">INDEX(N57:Q57,case_number)</f>
        <v>0.42441366570439232</v>
      </c>
      <c r="F57" s="109" t="s">
        <v>86</v>
      </c>
      <c r="G57" s="109"/>
      <c r="I57" s="141"/>
      <c r="J57" s="142"/>
      <c r="K57" s="106">
        <v>16</v>
      </c>
      <c r="L57" s="105" t="s">
        <v>437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">
        <v>417</v>
      </c>
      <c r="AB57" s="169">
        <v>267885</v>
      </c>
      <c r="AC57" s="169">
        <v>-260007.8</v>
      </c>
      <c r="AD57" s="170">
        <v>22.55</v>
      </c>
    </row>
    <row r="58" spans="2:30" ht="15.75">
      <c r="B58" s="106">
        <f>B57+1</f>
        <v>17</v>
      </c>
      <c r="C58" s="105" t="s">
        <v>169</v>
      </c>
      <c r="D58" s="103"/>
      <c r="E58" s="109" cm="1">
        <f t="array" ref="E58">INDEX(N58:Q58,case_number)</f>
        <v>0.67694875947348121</v>
      </c>
      <c r="F58" s="109" t="s">
        <v>86</v>
      </c>
      <c r="G58" s="109"/>
      <c r="I58" s="141"/>
      <c r="J58" s="142"/>
      <c r="K58" s="106">
        <v>17</v>
      </c>
      <c r="L58" s="105" t="s">
        <v>438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">
        <v>417</v>
      </c>
      <c r="AB58" s="169">
        <v>0.12902715000000001</v>
      </c>
      <c r="AC58" s="169">
        <v>-238693</v>
      </c>
      <c r="AD58" s="170">
        <v>11580800</v>
      </c>
    </row>
    <row r="59" spans="2:30" ht="15.75">
      <c r="B59" s="106">
        <f>B58+1</f>
        <v>18</v>
      </c>
      <c r="C59" s="103" t="s">
        <v>168</v>
      </c>
      <c r="D59" s="103"/>
      <c r="E59" s="109" cm="1">
        <f t="array" ref="E59">INDEX(N59:Q59,case_number)</f>
        <v>1.3750667981906362</v>
      </c>
      <c r="F59" s="113" t="s">
        <v>86</v>
      </c>
      <c r="G59" s="109"/>
      <c r="I59" s="143"/>
      <c r="J59" s="142"/>
      <c r="K59" s="106">
        <v>18</v>
      </c>
      <c r="L59" s="103" t="s">
        <v>439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">
        <v>417</v>
      </c>
      <c r="AB59" s="169">
        <v>26788.65</v>
      </c>
      <c r="AC59" s="169">
        <v>-238693</v>
      </c>
      <c r="AD59" s="170">
        <v>846889</v>
      </c>
    </row>
    <row r="60" spans="2:30" ht="15.75">
      <c r="B60" s="106">
        <f>B59+1</f>
        <v>19</v>
      </c>
      <c r="C60" s="103" t="s">
        <v>167</v>
      </c>
      <c r="D60" s="103" t="s">
        <v>126</v>
      </c>
      <c r="E60" s="109" cm="1">
        <f t="array" ref="E60">INDEX(N60:Q60,case_number)</f>
        <v>3.9552630780086151</v>
      </c>
      <c r="F60" s="109" cm="1">
        <f t="array" aca="1" ref="F60" ca="1">INDIRECT(sheet_name&amp;"!gap.h")</f>
        <v>3.9552630780086138</v>
      </c>
      <c r="G60" s="118">
        <f t="shared" ref="G60:G61" ca="1" si="1">(F60-E60)/E60</f>
        <v>-3.3683413802678182E-16</v>
      </c>
      <c r="I60" s="143"/>
      <c r="J60" s="142"/>
      <c r="K60" s="106">
        <v>19</v>
      </c>
      <c r="L60" s="103" t="s">
        <v>440</v>
      </c>
      <c r="M60" s="103" t="s">
        <v>126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">
        <v>417</v>
      </c>
      <c r="AB60" s="169">
        <v>53577.15</v>
      </c>
      <c r="AC60" s="169">
        <v>-238693</v>
      </c>
      <c r="AD60" s="170">
        <v>627169</v>
      </c>
    </row>
    <row r="61" spans="2:30" ht="15.75">
      <c r="B61" s="106"/>
      <c r="C61" s="103" t="s">
        <v>166</v>
      </c>
      <c r="D61" s="103" t="s">
        <v>126</v>
      </c>
      <c r="E61" s="109" cm="1">
        <f t="array" ref="E61">INDEX(N61:Q61,case_number)</f>
        <v>3.9552630780086151</v>
      </c>
      <c r="F61" s="109" cm="1">
        <f t="array" aca="1" ref="F61" ca="1">INDIRECT(sheet_name&amp;"!gap.h")</f>
        <v>3.9552630780086138</v>
      </c>
      <c r="G61" s="118">
        <f t="shared" ca="1" si="1"/>
        <v>-3.3683413802678182E-16</v>
      </c>
      <c r="H61" t="s">
        <v>165</v>
      </c>
      <c r="I61" s="143"/>
      <c r="J61" s="142"/>
      <c r="K61" s="106"/>
      <c r="L61" s="103" t="s">
        <v>441</v>
      </c>
      <c r="M61" s="103" t="s">
        <v>126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">
        <v>165</v>
      </c>
      <c r="AB61" s="169">
        <v>80365.5</v>
      </c>
      <c r="AC61" s="169">
        <v>-238693</v>
      </c>
      <c r="AD61" s="170">
        <v>251686</v>
      </c>
    </row>
    <row r="62" spans="2:30">
      <c r="B62" s="106">
        <f>B60+1</f>
        <v>20</v>
      </c>
      <c r="C62" s="103" t="s">
        <v>164</v>
      </c>
      <c r="D62" s="103"/>
      <c r="E62" s="128"/>
      <c r="F62" s="128"/>
      <c r="G62" s="128"/>
      <c r="H62" t="s">
        <v>163</v>
      </c>
      <c r="I62" s="143"/>
      <c r="J62" s="142"/>
      <c r="K62" s="106">
        <v>20</v>
      </c>
      <c r="L62" s="103" t="s">
        <v>164</v>
      </c>
      <c r="M62" s="103"/>
      <c r="N62" s="128"/>
      <c r="O62" s="128"/>
      <c r="P62" s="128"/>
      <c r="Q62" s="128"/>
      <c r="R62" t="s">
        <v>163</v>
      </c>
      <c r="AB62" s="169">
        <v>107154</v>
      </c>
      <c r="AC62" s="169">
        <v>-238693</v>
      </c>
      <c r="AD62" s="170">
        <v>84340.7</v>
      </c>
    </row>
    <row r="63" spans="2:30">
      <c r="B63" s="106">
        <f>B62+1</f>
        <v>21</v>
      </c>
      <c r="C63" s="112" t="s">
        <v>162</v>
      </c>
      <c r="D63" s="103"/>
      <c r="E63" s="128"/>
      <c r="F63" s="128"/>
      <c r="G63" s="128"/>
      <c r="H63" t="s">
        <v>161</v>
      </c>
      <c r="I63" s="144"/>
      <c r="J63" s="142"/>
      <c r="K63" s="106">
        <v>21</v>
      </c>
      <c r="L63" s="112" t="s">
        <v>162</v>
      </c>
      <c r="M63" s="103"/>
      <c r="N63" s="128"/>
      <c r="O63" s="128"/>
      <c r="P63" s="128"/>
      <c r="Q63" s="128"/>
      <c r="R63" t="s">
        <v>161</v>
      </c>
      <c r="AB63" s="169">
        <v>133942.5</v>
      </c>
      <c r="AC63" s="169">
        <v>-238693</v>
      </c>
      <c r="AD63" s="170">
        <v>29240.7</v>
      </c>
    </row>
    <row r="64" spans="2:30" ht="15.75">
      <c r="B64" s="106">
        <f>B63+1</f>
        <v>22</v>
      </c>
      <c r="C64" s="103" t="s">
        <v>160</v>
      </c>
      <c r="D64" s="103"/>
      <c r="E64" s="104"/>
      <c r="F64" s="104"/>
      <c r="G64" s="104"/>
      <c r="I64" s="143"/>
      <c r="J64" s="142"/>
      <c r="K64" s="106">
        <v>22</v>
      </c>
      <c r="L64" s="103" t="s">
        <v>442</v>
      </c>
      <c r="M64" s="103"/>
      <c r="N64" s="104"/>
      <c r="O64" s="104"/>
      <c r="P64" s="104"/>
      <c r="Q64" s="104"/>
      <c r="R64" t="s">
        <v>417</v>
      </c>
      <c r="AB64" s="169">
        <v>160731</v>
      </c>
      <c r="AC64" s="169">
        <v>-238693</v>
      </c>
      <c r="AD64" s="170">
        <v>11043.4</v>
      </c>
    </row>
    <row r="65" spans="2:30" ht="15.75">
      <c r="B65" s="106">
        <f>B64+1</f>
        <v>23</v>
      </c>
      <c r="C65" s="103" t="s">
        <v>159</v>
      </c>
      <c r="D65" s="103"/>
      <c r="E65" s="104"/>
      <c r="F65" s="104"/>
      <c r="G65" s="104"/>
      <c r="I65" s="143"/>
      <c r="J65" s="142"/>
      <c r="K65" s="106">
        <v>23</v>
      </c>
      <c r="L65" s="103" t="s">
        <v>443</v>
      </c>
      <c r="M65" s="103"/>
      <c r="N65" s="104"/>
      <c r="O65" s="104"/>
      <c r="P65" s="104"/>
      <c r="Q65" s="104"/>
      <c r="R65" t="s">
        <v>417</v>
      </c>
      <c r="AB65" s="169">
        <v>187519.5</v>
      </c>
      <c r="AC65" s="169">
        <v>-238693</v>
      </c>
      <c r="AD65" s="170">
        <v>6030.38</v>
      </c>
    </row>
    <row r="66" spans="2:30" ht="15.75">
      <c r="B66" s="106">
        <f>B65+1</f>
        <v>24</v>
      </c>
      <c r="C66" s="103" t="s">
        <v>158</v>
      </c>
      <c r="D66" s="103"/>
      <c r="E66" s="128"/>
      <c r="F66" s="128"/>
      <c r="G66" s="128"/>
      <c r="H66" t="s">
        <v>157</v>
      </c>
      <c r="I66" s="143"/>
      <c r="J66" s="142"/>
      <c r="K66" s="106">
        <v>24</v>
      </c>
      <c r="L66" s="103" t="s">
        <v>444</v>
      </c>
      <c r="M66" s="103"/>
      <c r="N66" s="128"/>
      <c r="O66" s="128"/>
      <c r="P66" s="128"/>
      <c r="Q66" s="128"/>
      <c r="R66" t="s">
        <v>157</v>
      </c>
      <c r="AB66" s="169">
        <v>214308</v>
      </c>
      <c r="AC66" s="169">
        <v>-238693</v>
      </c>
      <c r="AD66" s="170">
        <v>1930.07</v>
      </c>
    </row>
    <row r="67" spans="2:30" ht="15.75">
      <c r="B67" s="106"/>
      <c r="C67" s="103" t="s">
        <v>320</v>
      </c>
      <c r="D67" s="103" t="s">
        <v>128</v>
      </c>
      <c r="E67" s="109" cm="1">
        <f t="array" ref="E67">INDEX(N67:Q67,case_number)</f>
        <v>-81.400000000000006</v>
      </c>
      <c r="F67" s="109" cm="1">
        <f t="array" aca="1" ref="F67" ca="1">INDIRECT(sheet_name&amp;"!Point1.Z")</f>
        <v>-81.400000000000006</v>
      </c>
      <c r="G67" s="118">
        <f t="shared" ref="G67" ca="1" si="2">(F67-E67)/E67</f>
        <v>0</v>
      </c>
      <c r="K67" s="106"/>
      <c r="L67" s="103" t="s">
        <v>445</v>
      </c>
      <c r="M67" s="103" t="s">
        <v>128</v>
      </c>
      <c r="N67" s="109">
        <v>-81.400000000000006</v>
      </c>
      <c r="O67" s="109">
        <v>-81.400000000000006</v>
      </c>
      <c r="P67" s="109">
        <v>-81.400000000000006</v>
      </c>
      <c r="Q67" s="109">
        <v>-81.400000000000006</v>
      </c>
      <c r="AB67" s="169">
        <v>241096.5</v>
      </c>
      <c r="AC67" s="169">
        <v>-238693</v>
      </c>
      <c r="AD67" s="170">
        <v>362.6</v>
      </c>
    </row>
    <row r="68" spans="2:30" ht="15.75">
      <c r="B68" s="106"/>
      <c r="C68" s="103" t="s">
        <v>319</v>
      </c>
      <c r="D68" s="103" t="s">
        <v>128</v>
      </c>
      <c r="E68" s="107" cm="1">
        <f t="array" ref="E68">INDEX(N68:Q68,case_number)</f>
        <v>928</v>
      </c>
      <c r="F68" s="107" cm="1">
        <f t="array" aca="1" ref="F68" ca="1">INDIRECT(sheet_name&amp;"!Point1.Fs")</f>
        <v>928</v>
      </c>
      <c r="G68" s="118">
        <f t="shared" ref="G68:G72" ca="1" si="3">(F68-E68)/E68</f>
        <v>0</v>
      </c>
      <c r="K68" s="106"/>
      <c r="L68" s="103" t="s">
        <v>446</v>
      </c>
      <c r="M68" s="103" t="s">
        <v>128</v>
      </c>
      <c r="N68" s="109">
        <v>928</v>
      </c>
      <c r="O68" s="109">
        <v>928</v>
      </c>
      <c r="P68" s="109">
        <v>928</v>
      </c>
      <c r="Q68" s="109">
        <v>928</v>
      </c>
      <c r="AB68" s="169">
        <v>267885</v>
      </c>
      <c r="AC68" s="169">
        <v>-238693</v>
      </c>
      <c r="AD68" s="170">
        <v>56.27</v>
      </c>
    </row>
    <row r="69" spans="2:30" ht="15.75">
      <c r="B69" s="106"/>
      <c r="C69" s="103" t="s">
        <v>318</v>
      </c>
      <c r="D69" s="103" t="s">
        <v>128</v>
      </c>
      <c r="E69" s="108" cm="1">
        <f t="array" ref="E69">INDEX(N69:Q69,case_number)</f>
        <v>1557.7696925525927</v>
      </c>
      <c r="F69" s="108" cm="1">
        <f t="array" aca="1" ref="F69" ca="1">INDIRECT(sheet_name&amp;"!Point2.Z")</f>
        <v>1557.7699806243011</v>
      </c>
      <c r="G69" s="118">
        <f t="shared" ca="1" si="3"/>
        <v>1.8492573694291813E-7</v>
      </c>
      <c r="K69" s="106"/>
      <c r="L69" s="103" t="s">
        <v>447</v>
      </c>
      <c r="M69" s="103" t="s">
        <v>128</v>
      </c>
      <c r="N69" s="109">
        <v>1492.5084966628503</v>
      </c>
      <c r="O69" s="109">
        <v>1540.4801262249075</v>
      </c>
      <c r="P69" s="109">
        <v>1554.9971446802231</v>
      </c>
      <c r="Q69" s="109">
        <v>1557.7696925525927</v>
      </c>
      <c r="AB69" s="169">
        <v>348250.5</v>
      </c>
      <c r="AC69" s="169">
        <v>-238693</v>
      </c>
      <c r="AD69" s="170">
        <v>10.865</v>
      </c>
    </row>
    <row r="70" spans="2:30" ht="15.75">
      <c r="B70" s="106"/>
      <c r="C70" s="103" t="s">
        <v>317</v>
      </c>
      <c r="D70" s="103" t="s">
        <v>128</v>
      </c>
      <c r="E70" s="107" cm="1">
        <f t="array" ref="E70">INDEX(N70:Q70,case_number)</f>
        <v>1276</v>
      </c>
      <c r="F70" s="107" cm="1">
        <f t="array" aca="1" ref="F70" ca="1">INDIRECT(sheet_name&amp;"!Point2.Fs")</f>
        <v>1276</v>
      </c>
      <c r="G70" s="118">
        <f t="shared" ca="1" si="3"/>
        <v>0</v>
      </c>
      <c r="K70" s="106"/>
      <c r="L70" s="103" t="s">
        <v>448</v>
      </c>
      <c r="M70" s="103" t="s">
        <v>128</v>
      </c>
      <c r="N70" s="109">
        <v>1276</v>
      </c>
      <c r="O70" s="109">
        <v>1276</v>
      </c>
      <c r="P70" s="109">
        <v>1276</v>
      </c>
      <c r="Q70" s="109">
        <v>1276</v>
      </c>
      <c r="AB70" s="169">
        <v>0.12902715000000001</v>
      </c>
      <c r="AC70" s="169">
        <v>-217378.2</v>
      </c>
      <c r="AD70" s="170">
        <v>11103500</v>
      </c>
    </row>
    <row r="71" spans="2:30" ht="15.75">
      <c r="B71" s="106"/>
      <c r="C71" s="103" t="s">
        <v>316</v>
      </c>
      <c r="D71" s="103" t="s">
        <v>128</v>
      </c>
      <c r="E71" s="107" cm="1">
        <f t="array" ref="E71">INDEX(N71:Q71,case_number)</f>
        <v>117.57574766823377</v>
      </c>
      <c r="F71" s="107" cm="1">
        <f t="array" aca="1" ref="F71" ca="1">INDIRECT(sheet_name&amp;"!Point3.Z")</f>
        <v>117.57576867972085</v>
      </c>
      <c r="G71" s="118">
        <f t="shared" ca="1" si="3"/>
        <v>1.7870596185800928E-7</v>
      </c>
      <c r="K71" s="106"/>
      <c r="L71" s="103" t="s">
        <v>449</v>
      </c>
      <c r="M71" s="103" t="s">
        <v>128</v>
      </c>
      <c r="N71" s="109">
        <v>127.80040026403364</v>
      </c>
      <c r="O71" s="109">
        <v>120.5102458918372</v>
      </c>
      <c r="P71" s="109">
        <v>118.45765080768774</v>
      </c>
      <c r="Q71" s="109">
        <v>117.57574766823377</v>
      </c>
      <c r="AB71" s="169">
        <v>26788.65</v>
      </c>
      <c r="AC71" s="169">
        <v>-217378.2</v>
      </c>
      <c r="AD71" s="170">
        <v>710137</v>
      </c>
    </row>
    <row r="72" spans="2:30" ht="15.75">
      <c r="B72" s="106"/>
      <c r="C72" s="103" t="s">
        <v>315</v>
      </c>
      <c r="D72" s="103" t="s">
        <v>128</v>
      </c>
      <c r="E72" s="107" cm="1">
        <f t="array" ref="E72">INDEX(N72:Q72,case_number)</f>
        <v>942.59356554423448</v>
      </c>
      <c r="F72" s="107" cm="1">
        <f t="array" aca="1" ref="F72" ca="1">INDIRECT(sheet_name&amp;"!Point3.Fs")</f>
        <v>942.59339486542592</v>
      </c>
      <c r="G72" s="118">
        <f t="shared" ca="1" si="3"/>
        <v>-1.8107359820553317E-7</v>
      </c>
      <c r="K72" s="106"/>
      <c r="L72" s="103" t="s">
        <v>450</v>
      </c>
      <c r="M72" s="103" t="s">
        <v>128</v>
      </c>
      <c r="N72" s="109">
        <v>946.91321947451297</v>
      </c>
      <c r="O72" s="109">
        <v>943.83120987968528</v>
      </c>
      <c r="P72" s="109">
        <v>942.92323896553216</v>
      </c>
      <c r="Q72" s="109">
        <v>942.59356554423448</v>
      </c>
      <c r="AB72" s="169">
        <v>53577.15</v>
      </c>
      <c r="AC72" s="169">
        <v>-217378.2</v>
      </c>
      <c r="AD72" s="170">
        <v>487653</v>
      </c>
    </row>
    <row r="73" spans="2:30" ht="15.75">
      <c r="B73" s="106"/>
      <c r="C73" s="103" t="s">
        <v>314</v>
      </c>
      <c r="D73" s="103"/>
      <c r="E73" s="107" cm="1">
        <f t="array" ref="E73">INDEX(N73:Q73,case_number)</f>
        <v>469726477.88498855</v>
      </c>
      <c r="F73" s="110" t="s">
        <v>86</v>
      </c>
      <c r="G73" s="110"/>
      <c r="K73" s="106"/>
      <c r="L73" s="103" t="s">
        <v>451</v>
      </c>
      <c r="M73" s="103"/>
      <c r="N73" s="110">
        <v>449346909.56388587</v>
      </c>
      <c r="O73" s="110">
        <v>465003522.01799351</v>
      </c>
      <c r="P73" s="110">
        <v>469815197.95926404</v>
      </c>
      <c r="Q73" s="110">
        <v>469726477.88498855</v>
      </c>
      <c r="AB73" s="169">
        <v>80365.5</v>
      </c>
      <c r="AC73" s="169">
        <v>-217378.2</v>
      </c>
      <c r="AD73" s="170">
        <v>200482</v>
      </c>
    </row>
    <row r="74" spans="2:30" ht="15.75">
      <c r="B74" s="106"/>
      <c r="C74" s="103" t="s">
        <v>313</v>
      </c>
      <c r="D74" s="103"/>
      <c r="E74" s="107" cm="1">
        <f t="array" ref="E74">INDEX(N74:Q74,case_number)</f>
        <v>45322.229842156419</v>
      </c>
      <c r="F74" s="111" t="s">
        <v>86</v>
      </c>
      <c r="G74" s="111"/>
      <c r="K74" s="106"/>
      <c r="L74" s="103" t="s">
        <v>452</v>
      </c>
      <c r="M74" s="103"/>
      <c r="N74" s="111">
        <v>43034.062461698457</v>
      </c>
      <c r="O74" s="111">
        <v>44588.440892402388</v>
      </c>
      <c r="P74" s="111">
        <v>45130.116848497855</v>
      </c>
      <c r="Q74" s="111">
        <v>45322.229842156419</v>
      </c>
      <c r="AB74" s="169">
        <v>107154</v>
      </c>
      <c r="AC74" s="169">
        <v>-217378.2</v>
      </c>
      <c r="AD74" s="170">
        <v>85421.6</v>
      </c>
    </row>
    <row r="75" spans="2:30" ht="15.75">
      <c r="B75" s="106"/>
      <c r="C75" s="103" t="s">
        <v>312</v>
      </c>
      <c r="D75" s="103"/>
      <c r="E75" s="107" cm="1">
        <f t="array" ref="E75">INDEX(N75:Q75,case_number)</f>
        <v>32811789.567916278</v>
      </c>
      <c r="F75" s="111" t="s">
        <v>86</v>
      </c>
      <c r="G75" s="111"/>
      <c r="K75" s="106"/>
      <c r="L75" s="103" t="s">
        <v>453</v>
      </c>
      <c r="M75" s="103"/>
      <c r="N75" s="111">
        <v>38627391.857927047</v>
      </c>
      <c r="O75" s="111">
        <v>34715742.793116093</v>
      </c>
      <c r="P75" s="111">
        <v>33408374.844133452</v>
      </c>
      <c r="Q75" s="111">
        <v>32811789.567916278</v>
      </c>
      <c r="AB75" s="169">
        <v>133942.5</v>
      </c>
      <c r="AC75" s="169">
        <v>-217378.2</v>
      </c>
      <c r="AD75" s="170">
        <v>33285.699999999997</v>
      </c>
    </row>
    <row r="76" spans="2:30" ht="15.75">
      <c r="B76" s="106"/>
      <c r="C76" s="105" t="s">
        <v>311</v>
      </c>
      <c r="D76" s="103"/>
      <c r="E76" s="145" cm="1">
        <f t="array" ref="E76">INDEX(N76:Q76,case_number)</f>
        <v>9.6486427689208238E-5</v>
      </c>
      <c r="F76" s="145" cm="1">
        <f t="array" aca="1" ref="F76" ca="1">INDIRECT(sheet_name&amp;"!Fs_coeff.tens.2")*1000</f>
        <v>9.6486984873490525E-5</v>
      </c>
      <c r="G76" s="118">
        <f t="shared" ref="G76:G78" ca="1" si="4">(F76-E76)/E76</f>
        <v>5.7747425791551268E-6</v>
      </c>
      <c r="K76" s="106"/>
      <c r="L76" s="105" t="s">
        <v>454</v>
      </c>
      <c r="M76" s="103"/>
      <c r="N76" s="155">
        <v>9.5770242424645164E-5</v>
      </c>
      <c r="O76" s="155">
        <v>9.5888393917749765E-5</v>
      </c>
      <c r="P76" s="155">
        <v>9.605929532405404E-5</v>
      </c>
      <c r="Q76" s="155">
        <v>9.6486427689208238E-5</v>
      </c>
      <c r="AB76" s="169">
        <v>160731</v>
      </c>
      <c r="AC76" s="169">
        <v>-217378.2</v>
      </c>
      <c r="AD76" s="170">
        <v>23038.9</v>
      </c>
    </row>
    <row r="77" spans="2:30" ht="15.75">
      <c r="B77" s="106"/>
      <c r="C77" s="105" t="s">
        <v>310</v>
      </c>
      <c r="D77" s="103"/>
      <c r="E77" s="145" cm="1">
        <f t="array" ref="E77">INDEX(N77:Q77,case_number)</f>
        <v>6.9852970000022371E-2</v>
      </c>
      <c r="F77" s="145" cm="1">
        <f t="array" aca="1" ref="F77" ca="1">INDIRECT(sheet_name&amp;"!Fs_coeff.tens.1")</f>
        <v>6.9852082284289088E-2</v>
      </c>
      <c r="G77" s="118">
        <f t="shared" ca="1" si="4"/>
        <v>-1.2708346306289959E-5</v>
      </c>
      <c r="K77" s="106"/>
      <c r="L77" s="105" t="s">
        <v>455</v>
      </c>
      <c r="M77" s="103"/>
      <c r="N77" s="155">
        <v>8.5963408306105646E-2</v>
      </c>
      <c r="O77" s="155">
        <v>7.4656945913998365E-2</v>
      </c>
      <c r="P77" s="155">
        <v>7.1109608606212377E-2</v>
      </c>
      <c r="Q77" s="155">
        <v>6.9852970000022371E-2</v>
      </c>
      <c r="AB77" s="169">
        <v>187519.5</v>
      </c>
      <c r="AC77" s="169">
        <v>-217378.2</v>
      </c>
      <c r="AD77" s="170">
        <v>9696.7199999999993</v>
      </c>
    </row>
    <row r="78" spans="2:30" ht="14.25">
      <c r="B78" s="106"/>
      <c r="C78" s="112" t="s">
        <v>309</v>
      </c>
      <c r="D78" s="103"/>
      <c r="E78" s="108" cm="1">
        <f t="array" ref="E78">INDEX(N78:Q78,case_number)</f>
        <v>933.04671654759022</v>
      </c>
      <c r="F78" s="107" cm="1">
        <f t="array" aca="1" ref="F78" ca="1">INDIRECT(sheet_name&amp;"!Fs_coeff.tens.0")/1000</f>
        <v>933.0466405956488</v>
      </c>
      <c r="G78" s="118">
        <f t="shared" ca="1" si="4"/>
        <v>-8.1402077815555765E-8</v>
      </c>
      <c r="K78" s="106"/>
      <c r="L78" s="112" t="s">
        <v>456</v>
      </c>
      <c r="M78" s="103"/>
      <c r="N78" s="108">
        <v>934.36285164062099</v>
      </c>
      <c r="O78" s="108">
        <v>933.44172273483616</v>
      </c>
      <c r="P78" s="108">
        <v>933.15183709210032</v>
      </c>
      <c r="Q78" s="108">
        <v>933.04671654759022</v>
      </c>
      <c r="AB78" s="169">
        <v>214308</v>
      </c>
      <c r="AC78" s="169">
        <v>-217378.2</v>
      </c>
      <c r="AD78" s="170">
        <v>2869.39</v>
      </c>
    </row>
    <row r="79" spans="2:30" ht="15.75">
      <c r="B79" s="106">
        <f>B66+1</f>
        <v>25</v>
      </c>
      <c r="C79" s="105" t="s">
        <v>156</v>
      </c>
      <c r="D79" s="103" t="s">
        <v>128</v>
      </c>
      <c r="E79" s="107" cm="1">
        <f t="array" ref="E79">INDEX(N79:Q79,case_number)</f>
        <v>425.03301509863468</v>
      </c>
      <c r="F79" s="107" cm="1">
        <f t="array" aca="1" ref="F79" ca="1">-INDIRECT(sheet_name&amp;"!DZ_gap")</f>
        <v>425.03301511467629</v>
      </c>
      <c r="G79" s="118">
        <f ca="1">(F79-E79)/E79</f>
        <v>3.7742034469320871E-11</v>
      </c>
      <c r="I79" s="139"/>
      <c r="K79" s="106">
        <v>25</v>
      </c>
      <c r="L79" s="105" t="s">
        <v>457</v>
      </c>
      <c r="M79" s="103" t="s">
        <v>128</v>
      </c>
      <c r="N79" s="107">
        <v>629.06537431187508</v>
      </c>
      <c r="O79" s="107">
        <v>486.28923985607651</v>
      </c>
      <c r="P79" s="107">
        <v>440.8550104289443</v>
      </c>
      <c r="Q79" s="107">
        <v>425.03301509863468</v>
      </c>
      <c r="R79" t="s">
        <v>417</v>
      </c>
      <c r="AB79" s="169">
        <v>241096.5</v>
      </c>
      <c r="AC79" s="169">
        <v>-217378.2</v>
      </c>
      <c r="AD79" s="170">
        <v>2108.6799999999998</v>
      </c>
    </row>
    <row r="80" spans="2:30" ht="15.75">
      <c r="B80" s="106"/>
      <c r="C80" s="103" t="s">
        <v>145</v>
      </c>
      <c r="D80" s="103" t="s">
        <v>144</v>
      </c>
      <c r="E80" s="111" cm="1">
        <f t="array" ref="E80">INDEX(N80:Q80,case_number)</f>
        <v>13967.520937860219</v>
      </c>
      <c r="F80" s="111" t="s">
        <v>86</v>
      </c>
      <c r="G80" s="111"/>
      <c r="I80" s="138"/>
      <c r="K80" s="106"/>
      <c r="L80" s="103" t="s">
        <v>458</v>
      </c>
      <c r="M80" s="103" t="s">
        <v>144</v>
      </c>
      <c r="N80" s="111">
        <v>13967.520937860219</v>
      </c>
      <c r="O80" s="111">
        <v>13967.520937860219</v>
      </c>
      <c r="P80" s="111">
        <v>13967.520937860219</v>
      </c>
      <c r="Q80" s="111">
        <v>13967.520937860219</v>
      </c>
      <c r="R80" t="s">
        <v>417</v>
      </c>
      <c r="AB80" s="169">
        <v>267885</v>
      </c>
      <c r="AC80" s="169">
        <v>-217378.2</v>
      </c>
      <c r="AD80" s="170">
        <v>66.819999999999993</v>
      </c>
    </row>
    <row r="81" spans="2:30" ht="15.75">
      <c r="B81" s="106"/>
      <c r="C81" s="103" t="s">
        <v>143</v>
      </c>
      <c r="D81" s="103" t="s">
        <v>273</v>
      </c>
      <c r="E81" s="114" cm="1">
        <f t="array" ref="E81">INDEX(N81:Q81,case_number)</f>
        <v>16761025.125432262</v>
      </c>
      <c r="F81" s="114" cm="1">
        <f t="array" aca="1" ref="F81" ca="1">INDIRECT(sheet_name&amp;"!I_tg")</f>
        <v>16761025.12543226</v>
      </c>
      <c r="G81" s="118">
        <f t="shared" ref="G81:G83" ca="1" si="5">(F81-E81)/E81</f>
        <v>-1.111295481804798E-16</v>
      </c>
      <c r="I81" s="138"/>
      <c r="K81" s="106"/>
      <c r="L81" s="103" t="s">
        <v>459</v>
      </c>
      <c r="M81" s="103" t="s">
        <v>460</v>
      </c>
      <c r="N81" s="154">
        <v>16761025.125432262</v>
      </c>
      <c r="O81" s="154">
        <v>16761025.125432262</v>
      </c>
      <c r="P81" s="154">
        <v>16761025.125432262</v>
      </c>
      <c r="Q81" s="154">
        <v>16761025.125432262</v>
      </c>
      <c r="R81" t="s">
        <v>417</v>
      </c>
      <c r="AB81" s="169">
        <v>294673.5</v>
      </c>
      <c r="AC81" s="169">
        <v>-217378.2</v>
      </c>
      <c r="AD81" s="170">
        <v>21.73</v>
      </c>
    </row>
    <row r="82" spans="2:30" ht="15.75">
      <c r="B82" s="106"/>
      <c r="C82" s="103" t="s">
        <v>149</v>
      </c>
      <c r="D82" s="103" t="s">
        <v>144</v>
      </c>
      <c r="E82" s="111" cm="1">
        <f t="array" ref="E82">INDEX(N82:Q82,case_number)</f>
        <v>41640</v>
      </c>
      <c r="F82" s="111" cm="1">
        <f t="array" aca="1" ref="F82" ca="1">INDIRECT(sheet_name&amp;"!flange.A_cf")</f>
        <v>41640</v>
      </c>
      <c r="G82" s="118">
        <f t="shared" ca="1" si="5"/>
        <v>0</v>
      </c>
      <c r="I82" s="138"/>
      <c r="K82" s="106"/>
      <c r="L82" s="103" t="s">
        <v>461</v>
      </c>
      <c r="M82" s="103" t="s">
        <v>144</v>
      </c>
      <c r="N82" s="111">
        <v>41640</v>
      </c>
      <c r="O82" s="111">
        <v>41640</v>
      </c>
      <c r="P82" s="111">
        <v>41640</v>
      </c>
      <c r="Q82" s="111">
        <v>41640</v>
      </c>
      <c r="R82" t="s">
        <v>417</v>
      </c>
      <c r="AB82" s="169">
        <v>348250.5</v>
      </c>
      <c r="AC82" s="169">
        <v>-217378.2</v>
      </c>
      <c r="AD82" s="170">
        <v>6.2649999999999997</v>
      </c>
    </row>
    <row r="83" spans="2:30" ht="15.75">
      <c r="B83" s="106"/>
      <c r="C83" s="103" t="s">
        <v>148</v>
      </c>
      <c r="D83" s="103" t="s">
        <v>273</v>
      </c>
      <c r="E83" s="114" cm="1">
        <f t="array" ref="E83">INDEX(N83:Q83,case_number)</f>
        <v>49968000</v>
      </c>
      <c r="F83" s="114" cm="1">
        <f t="array" aca="1" ref="F83" ca="1">INDIRECT(sheet_name&amp;"!flange.I_cf")</f>
        <v>49967999.999999978</v>
      </c>
      <c r="G83" s="118">
        <f t="shared" ca="1" si="5"/>
        <v>-4.4732112133308286E-16</v>
      </c>
      <c r="I83" s="138"/>
      <c r="K83" s="106"/>
      <c r="L83" s="103" t="s">
        <v>462</v>
      </c>
      <c r="M83" s="103" t="s">
        <v>460</v>
      </c>
      <c r="N83" s="154">
        <v>49968000</v>
      </c>
      <c r="O83" s="154">
        <v>49968000</v>
      </c>
      <c r="P83" s="154">
        <v>49968000</v>
      </c>
      <c r="Q83" s="154">
        <v>49968000</v>
      </c>
      <c r="R83" t="s">
        <v>417</v>
      </c>
      <c r="AB83" s="169">
        <v>375039</v>
      </c>
      <c r="AC83" s="169">
        <v>-217378.2</v>
      </c>
      <c r="AD83" s="170">
        <v>3.12</v>
      </c>
    </row>
    <row r="84" spans="2:30" ht="15.75">
      <c r="B84" s="106">
        <f>B79+1</f>
        <v>26</v>
      </c>
      <c r="C84" s="103" t="s">
        <v>155</v>
      </c>
      <c r="D84" s="103" t="s">
        <v>135</v>
      </c>
      <c r="E84" s="111" cm="1">
        <f t="array" ref="E84">INDEX(N84:Q84,case_number)</f>
        <v>1846.4570127158167</v>
      </c>
      <c r="F84" s="111" cm="1">
        <f t="array" aca="1" ref="F84" ca="1">INDIRECT(sheet_name&amp;"!gap.stiffness")</f>
        <v>1846.4570127855063</v>
      </c>
      <c r="G84" s="118">
        <f ca="1">(F84-E84)/E84</f>
        <v>3.7742322889769582E-11</v>
      </c>
      <c r="I84" s="138"/>
      <c r="K84" s="106">
        <v>26</v>
      </c>
      <c r="L84" s="103" t="s">
        <v>463</v>
      </c>
      <c r="M84" s="103" t="s">
        <v>135</v>
      </c>
      <c r="N84" s="111">
        <v>12338.842944178879</v>
      </c>
      <c r="O84" s="111">
        <v>5114.2497585836136</v>
      </c>
      <c r="P84" s="111">
        <v>2855.8233973394749</v>
      </c>
      <c r="Q84" s="111">
        <v>1846.4570127158167</v>
      </c>
      <c r="R84" t="s">
        <v>417</v>
      </c>
      <c r="AB84" s="169">
        <v>0.12902715000000001</v>
      </c>
      <c r="AC84" s="169">
        <v>-196063.4</v>
      </c>
      <c r="AD84" s="170">
        <v>11335500</v>
      </c>
    </row>
    <row r="85" spans="2:30" ht="15.75">
      <c r="B85" s="106">
        <f>B84+1</f>
        <v>27</v>
      </c>
      <c r="C85" s="103" t="s">
        <v>152</v>
      </c>
      <c r="D85" s="103" t="s">
        <v>135</v>
      </c>
      <c r="E85" s="111" cm="1">
        <f t="array" ref="E85">INDEX(N85:Q85,case_number)</f>
        <v>618.07300717442922</v>
      </c>
      <c r="F85" s="111" t="s">
        <v>86</v>
      </c>
      <c r="G85" s="111"/>
      <c r="H85" t="s">
        <v>154</v>
      </c>
      <c r="I85" s="138"/>
      <c r="K85" s="106">
        <v>27</v>
      </c>
      <c r="L85" s="103" t="s">
        <v>464</v>
      </c>
      <c r="M85" s="103" t="s">
        <v>135</v>
      </c>
      <c r="N85" s="111">
        <v>4969.7474220912991</v>
      </c>
      <c r="O85" s="111">
        <v>2087.6088407482434</v>
      </c>
      <c r="P85" s="111">
        <v>1100.430262890972</v>
      </c>
      <c r="Q85" s="111">
        <v>618.07300717442922</v>
      </c>
      <c r="R85" t="s">
        <v>154</v>
      </c>
      <c r="AB85" s="169">
        <v>26788.65</v>
      </c>
      <c r="AC85" s="169">
        <v>-196063.4</v>
      </c>
      <c r="AD85" s="170">
        <v>794046</v>
      </c>
    </row>
    <row r="86" spans="2:30" ht="15.75">
      <c r="B86" s="106"/>
      <c r="C86" s="103" t="s">
        <v>152</v>
      </c>
      <c r="D86" s="103" t="s">
        <v>135</v>
      </c>
      <c r="E86" s="111" cm="1">
        <f t="array" ref="E86">INDEX(N86:Q86,case_number)</f>
        <v>838.24223860426605</v>
      </c>
      <c r="F86" s="111" cm="1">
        <f t="array" aca="1" ref="F86" ca="1">INDIRECT(sheet_name&amp;"!gap.k_shell")</f>
        <v>838.24223860426605</v>
      </c>
      <c r="G86" s="118">
        <f ca="1">(F86-E86)/E86</f>
        <v>0</v>
      </c>
      <c r="H86" t="s">
        <v>153</v>
      </c>
      <c r="I86" s="138"/>
      <c r="K86" s="106"/>
      <c r="L86" s="103" t="s">
        <v>464</v>
      </c>
      <c r="M86" s="103" t="s">
        <v>135</v>
      </c>
      <c r="N86" s="111">
        <v>5347.6060878876842</v>
      </c>
      <c r="O86" s="111">
        <v>2307.8784491005872</v>
      </c>
      <c r="P86" s="111">
        <v>1294.7690648871564</v>
      </c>
      <c r="Q86" s="111">
        <v>838.24223860426605</v>
      </c>
      <c r="R86" t="s">
        <v>153</v>
      </c>
      <c r="AB86" s="169">
        <v>53577.15</v>
      </c>
      <c r="AC86" s="169">
        <v>-196063.4</v>
      </c>
      <c r="AD86" s="170">
        <v>535406</v>
      </c>
    </row>
    <row r="87" spans="2:30" ht="15.75">
      <c r="B87" s="106"/>
      <c r="C87" s="103" t="s">
        <v>152</v>
      </c>
      <c r="D87" s="103" t="s">
        <v>135</v>
      </c>
      <c r="E87" s="111" cm="1">
        <f t="array" ref="E87">INDEX(N87:Q87,case_number)</f>
        <v>838.24223860426605</v>
      </c>
      <c r="F87" s="111" cm="1">
        <f t="array" aca="1" ref="F87" ca="1">INDIRECT(sheet_name&amp;"!gap.k_shell")</f>
        <v>838.24223860426605</v>
      </c>
      <c r="G87" s="118">
        <f ca="1">(F87-E87)/E87</f>
        <v>0</v>
      </c>
      <c r="H87" t="s">
        <v>151</v>
      </c>
      <c r="I87" s="138"/>
      <c r="K87" s="106"/>
      <c r="L87" s="103" t="s">
        <v>464</v>
      </c>
      <c r="M87" s="103" t="s">
        <v>135</v>
      </c>
      <c r="N87" s="111">
        <v>5347.6060878876842</v>
      </c>
      <c r="O87" s="111">
        <v>2307.8784491005872</v>
      </c>
      <c r="P87" s="111">
        <v>1294.7690648871564</v>
      </c>
      <c r="Q87" s="111">
        <v>838.24223860426605</v>
      </c>
      <c r="R87" t="s">
        <v>151</v>
      </c>
      <c r="AB87" s="169">
        <v>80365.5</v>
      </c>
      <c r="AC87" s="169">
        <v>-196063.4</v>
      </c>
      <c r="AD87" s="170">
        <v>248475</v>
      </c>
    </row>
    <row r="88" spans="2:30" ht="15.75">
      <c r="B88" s="106">
        <f>B85+1</f>
        <v>28</v>
      </c>
      <c r="C88" s="103" t="s">
        <v>150</v>
      </c>
      <c r="D88" s="103" t="s">
        <v>123</v>
      </c>
      <c r="E88" s="109" cm="1">
        <f t="array" ref="E88">INDEX(N88:Q88,case_number)</f>
        <v>2.8707963267948964</v>
      </c>
      <c r="F88" s="109" cm="1">
        <f t="array" aca="1" ref="F88" ca="1">INDIRECT(sheet_name&amp;"!gap.k_fac")</f>
        <v>2.8707963267948964</v>
      </c>
      <c r="G88" s="118">
        <f ca="1">(F88-E88)/E88</f>
        <v>0</v>
      </c>
      <c r="I88" s="138"/>
      <c r="K88" s="106">
        <v>28</v>
      </c>
      <c r="L88" s="103" t="s">
        <v>465</v>
      </c>
      <c r="M88" s="103" t="s">
        <v>123</v>
      </c>
      <c r="N88" s="109">
        <v>1.8</v>
      </c>
      <c r="O88" s="109">
        <v>2.0853981633974481</v>
      </c>
      <c r="P88" s="109">
        <v>2.4780972450961727</v>
      </c>
      <c r="Q88" s="109">
        <v>2.8707963267948964</v>
      </c>
      <c r="R88" t="s">
        <v>417</v>
      </c>
      <c r="AB88" s="169">
        <v>107154</v>
      </c>
      <c r="AC88" s="169">
        <v>-196063.4</v>
      </c>
      <c r="AD88" s="170">
        <v>104468</v>
      </c>
    </row>
    <row r="89" spans="2:30" ht="15.75">
      <c r="B89" s="106">
        <f>B88+1</f>
        <v>29</v>
      </c>
      <c r="C89" s="103" t="s">
        <v>147</v>
      </c>
      <c r="D89" s="103" t="s">
        <v>135</v>
      </c>
      <c r="E89" s="107" cm="1">
        <f t="array" ref="E89">INDEX(N89:Q89,case_number)</f>
        <v>1.0564035392869544</v>
      </c>
      <c r="F89" s="107" cm="1">
        <f t="array" aca="1" ref="F89" ca="1">INDIRECT(sheet_name&amp;"!gap.k_fl")</f>
        <v>1.056403570963949</v>
      </c>
      <c r="G89" s="118">
        <f ca="1">(F89-E89)/E89</f>
        <v>2.9985695243252596E-8</v>
      </c>
      <c r="I89" s="138"/>
      <c r="K89" s="106">
        <v>29</v>
      </c>
      <c r="L89" s="103" t="s">
        <v>466</v>
      </c>
      <c r="M89" s="103" t="s">
        <v>135</v>
      </c>
      <c r="N89" s="107">
        <v>260.95888673907825</v>
      </c>
      <c r="O89" s="107">
        <v>16.780532073782691</v>
      </c>
      <c r="P89" s="107">
        <v>3.3324793580593299</v>
      </c>
      <c r="Q89" s="107">
        <v>1.0564035392869544</v>
      </c>
      <c r="R89" t="s">
        <v>417</v>
      </c>
      <c r="AB89" s="169">
        <v>133942.5</v>
      </c>
      <c r="AC89" s="169">
        <v>-196063.4</v>
      </c>
      <c r="AD89" s="170">
        <v>48131.1</v>
      </c>
    </row>
    <row r="90" spans="2:30" ht="15.75">
      <c r="B90" s="106">
        <f>B89+1</f>
        <v>30</v>
      </c>
      <c r="C90" s="105" t="s">
        <v>146</v>
      </c>
      <c r="D90" s="103" t="s">
        <v>128</v>
      </c>
      <c r="E90" s="108" cm="1">
        <f t="array" ref="E90">INDEX(N90:Q90,case_number)</f>
        <v>358.07448861897069</v>
      </c>
      <c r="F90" s="108" cm="1">
        <f t="array" aca="1" ref="F90" ca="1">-INDIRECT(sheet_name&amp;"!DZ_gap_c")</f>
        <v>358.07447904380501</v>
      </c>
      <c r="G90" s="118">
        <f ca="1">(F90-E90)/E90</f>
        <v>-2.6740708935069076E-8</v>
      </c>
      <c r="H90" t="s">
        <v>307</v>
      </c>
      <c r="I90" s="139"/>
      <c r="K90" s="106">
        <v>30</v>
      </c>
      <c r="L90" s="105" t="s">
        <v>467</v>
      </c>
      <c r="M90" s="103" t="s">
        <v>128</v>
      </c>
      <c r="N90" s="107">
        <v>336.23632071251666</v>
      </c>
      <c r="O90" s="107">
        <v>350.88501931458478</v>
      </c>
      <c r="P90" s="107">
        <v>356.40950095541024</v>
      </c>
      <c r="Q90" s="107">
        <v>358.07448861897069</v>
      </c>
      <c r="R90" t="s">
        <v>307</v>
      </c>
      <c r="AB90" s="169">
        <v>160731</v>
      </c>
      <c r="AC90" s="169">
        <v>-196063.4</v>
      </c>
      <c r="AD90" s="170">
        <v>23220.9</v>
      </c>
    </row>
    <row r="91" spans="2:30" ht="15.75">
      <c r="B91" s="106">
        <f>B90+1</f>
        <v>31</v>
      </c>
      <c r="C91" s="103" t="s">
        <v>142</v>
      </c>
      <c r="D91" s="103" t="s">
        <v>128</v>
      </c>
      <c r="E91" s="108" cm="1">
        <f t="array" ref="E91">INDEX(N91:Q91,case_number)</f>
        <v>186.68643062713198</v>
      </c>
      <c r="F91" s="108" cm="1">
        <f t="array" aca="1" ref="F91" ca="1">INDIRECT(sheet_name&amp;"!F_V_c")</f>
        <v>186.68645045038258</v>
      </c>
      <c r="G91" s="118">
        <f t="shared" ref="G91" ca="1" si="6">(F91-E91)/E91</f>
        <v>1.0618474267241368E-7</v>
      </c>
      <c r="H91" t="s">
        <v>307</v>
      </c>
      <c r="I91" s="138"/>
      <c r="K91" s="106">
        <v>31</v>
      </c>
      <c r="L91" s="103" t="s">
        <v>468</v>
      </c>
      <c r="M91" s="103" t="s">
        <v>128</v>
      </c>
      <c r="N91" s="107">
        <v>231.89749903285738</v>
      </c>
      <c r="O91" s="107">
        <v>201.57062741112088</v>
      </c>
      <c r="P91" s="107">
        <v>190.13341718179032</v>
      </c>
      <c r="Q91" s="107">
        <v>186.68643062713198</v>
      </c>
      <c r="R91" t="s">
        <v>307</v>
      </c>
      <c r="AB91" s="169">
        <v>187519.5</v>
      </c>
      <c r="AC91" s="169">
        <v>-196063.4</v>
      </c>
      <c r="AD91" s="170">
        <v>12974.6</v>
      </c>
    </row>
    <row r="92" spans="2:30" ht="15.75">
      <c r="B92" s="106"/>
      <c r="C92" s="105" t="s">
        <v>141</v>
      </c>
      <c r="D92" s="103" t="s">
        <v>128</v>
      </c>
      <c r="E92" s="110" cm="1">
        <f t="array" ref="E92">INDEX(N92:Q92,case_number)</f>
        <v>0</v>
      </c>
      <c r="F92" s="110" cm="1">
        <f t="array" aca="1" ref="F92" ca="1">INDIRECT(sheet_name&amp;"!DZ_gap_inclination")</f>
        <v>0</v>
      </c>
      <c r="G92" s="118">
        <f ca="1">IF(AND(E92=0,F92=0), 0, (F92-E92)/E92)</f>
        <v>0</v>
      </c>
      <c r="H92" t="str">
        <f>"Inclination used: "&amp;E92&amp;"deg"</f>
        <v>Inclination used: 0deg</v>
      </c>
      <c r="I92" s="139"/>
      <c r="K92" s="106"/>
      <c r="L92" s="105" t="s">
        <v>469</v>
      </c>
      <c r="M92" s="103" t="s">
        <v>128</v>
      </c>
      <c r="N92" s="108">
        <v>0</v>
      </c>
      <c r="O92" s="108">
        <v>0</v>
      </c>
      <c r="P92" s="108">
        <v>0</v>
      </c>
      <c r="Q92" s="108">
        <v>0</v>
      </c>
      <c r="R92" t="s">
        <v>470</v>
      </c>
      <c r="AB92" s="169">
        <v>214308</v>
      </c>
      <c r="AC92" s="169">
        <v>-196063.4</v>
      </c>
      <c r="AD92" s="170">
        <v>4267.88</v>
      </c>
    </row>
    <row r="93" spans="2:30" ht="15.75">
      <c r="B93" s="106">
        <f>B91+1</f>
        <v>32</v>
      </c>
      <c r="C93" s="105" t="s">
        <v>140</v>
      </c>
      <c r="D93" s="103" t="s">
        <v>128</v>
      </c>
      <c r="E93" s="107" cm="1">
        <f t="array" ref="E93">INDEX(N93:Q93,case_number)</f>
        <v>783.10750371760537</v>
      </c>
      <c r="F93" s="107" cm="1">
        <f t="array" aca="1" ref="F93" ca="1">-INDIRECT(sheet_name&amp;"!DZ_gap_tot")</f>
        <v>783.10749415848124</v>
      </c>
      <c r="G93" s="107"/>
      <c r="I93" s="139"/>
      <c r="K93" s="106">
        <v>32</v>
      </c>
      <c r="L93" s="105" t="s">
        <v>471</v>
      </c>
      <c r="M93" s="103" t="s">
        <v>128</v>
      </c>
      <c r="N93" s="107">
        <v>965.30169502439173</v>
      </c>
      <c r="O93" s="107">
        <v>837.17425917066134</v>
      </c>
      <c r="P93" s="107">
        <v>797.26451138435459</v>
      </c>
      <c r="Q93" s="107">
        <v>783.10750371760537</v>
      </c>
      <c r="R93" t="s">
        <v>417</v>
      </c>
      <c r="AB93" s="169">
        <v>241096.5</v>
      </c>
      <c r="AC93" s="169">
        <v>-196063.4</v>
      </c>
      <c r="AD93" s="170">
        <v>1304.25</v>
      </c>
    </row>
    <row r="94" spans="2:30" ht="15.75">
      <c r="B94" s="106">
        <f>B93+1</f>
        <v>33</v>
      </c>
      <c r="C94" s="103" t="s">
        <v>139</v>
      </c>
      <c r="D94" s="103" t="s">
        <v>128</v>
      </c>
      <c r="E94" s="107" cm="1">
        <f t="array" ref="E94">INDEX(N94:Q94,case_number)</f>
        <v>1160</v>
      </c>
      <c r="F94" s="107" t="s">
        <v>86</v>
      </c>
      <c r="G94" s="118"/>
      <c r="I94" s="138"/>
      <c r="K94" s="106">
        <v>33</v>
      </c>
      <c r="L94" s="103" t="s">
        <v>472</v>
      </c>
      <c r="M94" s="103" t="s">
        <v>128</v>
      </c>
      <c r="N94" s="107">
        <v>1160</v>
      </c>
      <c r="O94" s="107">
        <v>1160</v>
      </c>
      <c r="P94" s="107">
        <v>1160</v>
      </c>
      <c r="Q94" s="107">
        <v>1160</v>
      </c>
      <c r="R94" t="s">
        <v>417</v>
      </c>
      <c r="AB94" s="169">
        <v>267885</v>
      </c>
      <c r="AC94" s="169">
        <v>-196063.4</v>
      </c>
      <c r="AD94" s="170">
        <v>259.005</v>
      </c>
    </row>
    <row r="95" spans="2:30" ht="15.75">
      <c r="B95" s="106">
        <f>B94+1</f>
        <v>34</v>
      </c>
      <c r="C95" s="103" t="s">
        <v>138</v>
      </c>
      <c r="D95" s="103" t="s">
        <v>128</v>
      </c>
      <c r="E95" s="108" cm="1">
        <f t="array" ref="E95">INDEX(N95:Q95,case_number)</f>
        <v>2320</v>
      </c>
      <c r="F95" s="108" cm="1">
        <f t="array" aca="1" ref="F95" ca="1">INDIRECT(sheet_name&amp;"!Z0")</f>
        <v>2320</v>
      </c>
      <c r="G95" s="118">
        <f ca="1">(F95-E95)/E95</f>
        <v>0</v>
      </c>
      <c r="H95" t="s">
        <v>308</v>
      </c>
      <c r="I95" s="138"/>
      <c r="K95" s="106">
        <v>34</v>
      </c>
      <c r="L95" s="103" t="s">
        <v>473</v>
      </c>
      <c r="M95" s="103" t="s">
        <v>128</v>
      </c>
      <c r="N95" s="107">
        <v>2320</v>
      </c>
      <c r="O95" s="107">
        <v>2320</v>
      </c>
      <c r="P95" s="107">
        <v>2320</v>
      </c>
      <c r="Q95" s="107">
        <v>2320</v>
      </c>
      <c r="R95" t="s">
        <v>308</v>
      </c>
      <c r="AB95" s="169">
        <v>294673.5</v>
      </c>
      <c r="AC95" s="169">
        <v>-196063.4</v>
      </c>
      <c r="AD95" s="170">
        <v>39.174999999999997</v>
      </c>
    </row>
    <row r="96" spans="2:30" ht="15.75">
      <c r="B96" s="106">
        <f>B95+1</f>
        <v>35</v>
      </c>
      <c r="C96" s="103" t="s">
        <v>138</v>
      </c>
      <c r="D96" s="103" t="s">
        <v>128</v>
      </c>
      <c r="E96" s="110" cm="1">
        <f t="array" ref="E96">INDEX(N96:Q96,case_number)</f>
        <v>2320</v>
      </c>
      <c r="F96" s="110" t="s">
        <v>86</v>
      </c>
      <c r="G96" s="104"/>
      <c r="H96" t="s">
        <v>307</v>
      </c>
      <c r="I96" s="138"/>
      <c r="K96" s="106">
        <v>35</v>
      </c>
      <c r="L96" s="103" t="s">
        <v>473</v>
      </c>
      <c r="M96" s="103" t="s">
        <v>128</v>
      </c>
      <c r="N96" s="108">
        <v>2320</v>
      </c>
      <c r="O96" s="108">
        <v>2320</v>
      </c>
      <c r="P96" s="108">
        <v>2320</v>
      </c>
      <c r="Q96" s="108">
        <v>2320</v>
      </c>
      <c r="R96" t="s">
        <v>307</v>
      </c>
      <c r="AB96" s="169">
        <v>321462</v>
      </c>
      <c r="AC96" s="169">
        <v>-196063.4</v>
      </c>
      <c r="AD96" s="170">
        <v>13.98</v>
      </c>
    </row>
    <row r="97" spans="2:30" ht="15.75">
      <c r="B97" s="106">
        <f>B96+1</f>
        <v>36</v>
      </c>
      <c r="C97" s="105" t="s">
        <v>137</v>
      </c>
      <c r="D97" s="103" t="s">
        <v>123</v>
      </c>
      <c r="E97" s="109" cm="1">
        <f t="array" ref="E97">INDEX(N97:Q97,case_number)</f>
        <v>1.0135840316227049</v>
      </c>
      <c r="F97" s="109" cm="1">
        <f t="array" aca="1" ref="F97" ca="1">INDIRECT(sheet_name&amp;"!stiffness_correction_factor")</f>
        <v>1.0135842127562142</v>
      </c>
      <c r="G97" s="118">
        <f ca="1">(F97-E97)/E97</f>
        <v>1.7870596186556338E-7</v>
      </c>
      <c r="I97" s="139"/>
      <c r="K97" s="106">
        <v>36</v>
      </c>
      <c r="L97" s="105" t="s">
        <v>474</v>
      </c>
      <c r="M97" s="103" t="s">
        <v>123</v>
      </c>
      <c r="N97" s="109">
        <v>1.1017275884830486</v>
      </c>
      <c r="O97" s="109">
        <v>1.0388814301020448</v>
      </c>
      <c r="P97" s="109">
        <v>1.0211866448938598</v>
      </c>
      <c r="Q97" s="109">
        <v>1.0135840316227049</v>
      </c>
      <c r="R97" t="s">
        <v>417</v>
      </c>
      <c r="AB97" s="169">
        <v>348250.5</v>
      </c>
      <c r="AC97" s="169">
        <v>-196063.4</v>
      </c>
      <c r="AD97" s="170">
        <v>15.55</v>
      </c>
    </row>
    <row r="98" spans="2:30">
      <c r="B98" s="106"/>
      <c r="C98" s="105" t="s">
        <v>272</v>
      </c>
      <c r="D98" s="103" t="s">
        <v>126</v>
      </c>
      <c r="E98" s="107" cm="1">
        <f t="array" ref="E98">INDEX(N98:Q98,case_number)</f>
        <v>116.39600781550183</v>
      </c>
      <c r="F98" s="107" t="s">
        <v>86</v>
      </c>
      <c r="G98" s="118"/>
      <c r="I98" s="139"/>
      <c r="K98" s="106"/>
      <c r="L98" s="105" t="s">
        <v>272</v>
      </c>
      <c r="M98" s="103" t="s">
        <v>126</v>
      </c>
      <c r="N98" s="107">
        <v>116.39600781550183</v>
      </c>
      <c r="O98" s="107">
        <v>116.39600781550183</v>
      </c>
      <c r="P98" s="107">
        <v>116.39600781550183</v>
      </c>
      <c r="Q98" s="107">
        <v>116.39600781550183</v>
      </c>
      <c r="R98" t="s">
        <v>417</v>
      </c>
      <c r="AB98" s="169">
        <v>375039</v>
      </c>
      <c r="AC98" s="169">
        <v>-196063.4</v>
      </c>
      <c r="AD98" s="170">
        <v>21.77</v>
      </c>
    </row>
    <row r="99" spans="2:30" ht="15.75">
      <c r="B99" s="106">
        <f>B97+1</f>
        <v>37</v>
      </c>
      <c r="C99" s="103" t="s">
        <v>136</v>
      </c>
      <c r="D99" s="103" t="s">
        <v>135</v>
      </c>
      <c r="E99" s="107" cm="1">
        <f t="array" ref="E99">INDEX(N99:Q99,case_number)</f>
        <v>135928.49781279723</v>
      </c>
      <c r="F99" s="107" cm="1">
        <f t="array" aca="1" ref="F99" ca="1">INDIRECT(sheet_name&amp;"!k_seg")</f>
        <v>135926.68533116262</v>
      </c>
      <c r="G99" s="118">
        <f ca="1">(F99-E99)/E99</f>
        <v>-1.3334081254293297E-5</v>
      </c>
      <c r="I99" s="138"/>
      <c r="K99" s="106">
        <v>37</v>
      </c>
      <c r="L99" s="103" t="s">
        <v>475</v>
      </c>
      <c r="M99" s="103" t="s">
        <v>135</v>
      </c>
      <c r="N99" s="107">
        <v>121292.98578855983</v>
      </c>
      <c r="O99" s="107">
        <v>131534.50747982287</v>
      </c>
      <c r="P99" s="107">
        <v>134793.56508057233</v>
      </c>
      <c r="Q99" s="107">
        <v>135928.49781279723</v>
      </c>
      <c r="R99" t="s">
        <v>417</v>
      </c>
      <c r="AB99" s="169">
        <v>401827.5</v>
      </c>
      <c r="AC99" s="169">
        <v>-196063.4</v>
      </c>
      <c r="AD99" s="170">
        <v>6.2249999999999996</v>
      </c>
    </row>
    <row r="100" spans="2:30" ht="15.75">
      <c r="B100" s="106">
        <f>B99+1</f>
        <v>38</v>
      </c>
      <c r="C100" s="103" t="s">
        <v>134</v>
      </c>
      <c r="D100" s="103" t="s">
        <v>128</v>
      </c>
      <c r="E100" s="111" cm="1">
        <f t="array" ref="E100">INDEX(N100:Q100,case_number)</f>
        <v>1894.9669849013653</v>
      </c>
      <c r="F100" s="111" cm="1">
        <f t="array" aca="1" ref="F100" ca="1">ROUND(INDIRECT(sheet_name&amp;"!Z_2_td"),0)</f>
        <v>1895</v>
      </c>
      <c r="G100" s="118">
        <f ca="1">(F100-E100)/E100</f>
        <v>1.7422519177238575E-5</v>
      </c>
      <c r="I100" s="138"/>
      <c r="K100" s="106">
        <v>38</v>
      </c>
      <c r="L100" s="103" t="s">
        <v>476</v>
      </c>
      <c r="M100" s="103" t="s">
        <v>128</v>
      </c>
      <c r="N100" s="111">
        <v>1690.9346256881249</v>
      </c>
      <c r="O100" s="111">
        <v>1833.7107601439234</v>
      </c>
      <c r="P100" s="111">
        <v>1879.1449895710557</v>
      </c>
      <c r="Q100" s="111">
        <v>1894.9669849013653</v>
      </c>
      <c r="R100" t="s">
        <v>417</v>
      </c>
      <c r="AB100" s="169">
        <v>455404.5</v>
      </c>
      <c r="AC100" s="169">
        <v>-196063.4</v>
      </c>
      <c r="AD100" s="170">
        <v>3.11</v>
      </c>
    </row>
    <row r="101" spans="2:30">
      <c r="B101" s="106">
        <f>B100+1</f>
        <v>39</v>
      </c>
      <c r="C101" s="103" t="s">
        <v>1</v>
      </c>
      <c r="D101" s="103" t="s">
        <v>126</v>
      </c>
      <c r="E101" s="109" cm="1">
        <f t="array" ref="E101">INDEX(N101:Q101,case_number)</f>
        <v>0.11977137777930504</v>
      </c>
      <c r="F101" s="109" cm="1">
        <f t="array" aca="1" ref="F101" ca="1">INDIRECT(sheet_name&amp;"!u")</f>
        <v>0.11977297484086973</v>
      </c>
      <c r="G101" s="118">
        <f ca="1">(F101-E101)/E101</f>
        <v>1.3334250588923367E-5</v>
      </c>
      <c r="H101" t="s">
        <v>308</v>
      </c>
      <c r="I101" s="138"/>
      <c r="K101" s="106">
        <v>39</v>
      </c>
      <c r="L101" s="103" t="s">
        <v>1</v>
      </c>
      <c r="M101" s="103" t="s">
        <v>126</v>
      </c>
      <c r="N101" s="109">
        <v>0.11977137777930504</v>
      </c>
      <c r="O101" s="109">
        <v>0.11977137777930504</v>
      </c>
      <c r="P101" s="109">
        <v>0.11977137777930504</v>
      </c>
      <c r="Q101" s="109">
        <v>0.11977137777930504</v>
      </c>
      <c r="R101" t="s">
        <v>417</v>
      </c>
      <c r="AB101" s="169">
        <v>482193</v>
      </c>
      <c r="AC101" s="169">
        <v>-196063.4</v>
      </c>
      <c r="AD101" s="170">
        <v>3.11</v>
      </c>
    </row>
    <row r="102" spans="2:30">
      <c r="B102" s="106">
        <f>B101+1</f>
        <v>40</v>
      </c>
      <c r="C102" s="103" t="s">
        <v>1</v>
      </c>
      <c r="D102" s="103" t="s">
        <v>126</v>
      </c>
      <c r="E102" s="110" cm="1">
        <f t="array" ref="E102">INDEX(N102:Q102,case_number)</f>
        <v>0.11977137777930504</v>
      </c>
      <c r="F102" s="104"/>
      <c r="G102" s="104"/>
      <c r="H102" t="s">
        <v>307</v>
      </c>
      <c r="I102" s="138"/>
      <c r="K102" s="106">
        <v>40</v>
      </c>
      <c r="L102" s="103" t="s">
        <v>1</v>
      </c>
      <c r="M102" s="103" t="s">
        <v>126</v>
      </c>
      <c r="N102" s="109">
        <v>0.11977137777930504</v>
      </c>
      <c r="O102" s="109">
        <v>0.11977137777930504</v>
      </c>
      <c r="P102" s="109">
        <v>0.11977137777930504</v>
      </c>
      <c r="Q102" s="109">
        <v>0.11977137777930504</v>
      </c>
      <c r="R102" t="s">
        <v>307</v>
      </c>
      <c r="AB102" s="169">
        <v>0.12902715000000001</v>
      </c>
      <c r="AC102" s="169">
        <v>-174749.9</v>
      </c>
      <c r="AD102" s="170">
        <v>13519300</v>
      </c>
    </row>
    <row r="103" spans="2:30" ht="15.75">
      <c r="B103" s="106"/>
      <c r="C103" s="103" t="s">
        <v>133</v>
      </c>
      <c r="D103" s="103" t="s">
        <v>128</v>
      </c>
      <c r="E103" s="110" cm="1">
        <f t="array" ref="E103">INDEX(N103:Q103,case_number)</f>
        <v>16280</v>
      </c>
      <c r="F103" s="110" t="s">
        <v>86</v>
      </c>
      <c r="G103" s="110"/>
      <c r="I103" s="138"/>
      <c r="K103" s="106"/>
      <c r="L103" s="103" t="s">
        <v>477</v>
      </c>
      <c r="M103" s="103" t="s">
        <v>128</v>
      </c>
      <c r="N103" s="110">
        <v>16280</v>
      </c>
      <c r="O103" s="110">
        <v>16280</v>
      </c>
      <c r="P103" s="110">
        <v>16280</v>
      </c>
      <c r="Q103" s="110">
        <v>16280</v>
      </c>
      <c r="R103" t="s">
        <v>478</v>
      </c>
      <c r="AB103" s="169">
        <v>26788.65</v>
      </c>
      <c r="AC103" s="169">
        <v>-174749.9</v>
      </c>
      <c r="AD103" s="170">
        <v>904574</v>
      </c>
    </row>
    <row r="104" spans="2:30" ht="15.75">
      <c r="B104" s="106">
        <f>B102+1</f>
        <v>41</v>
      </c>
      <c r="C104" s="105" t="s">
        <v>132</v>
      </c>
      <c r="D104" s="103" t="s">
        <v>128</v>
      </c>
      <c r="E104" s="107" cm="1">
        <f t="array" ref="E104">INDEX(N104:Q104,case_number)</f>
        <v>-81.400000000000006</v>
      </c>
      <c r="F104" s="107" cm="1">
        <f t="array" aca="1" ref="F104" ca="1">INDIRECT(sheet_name&amp;"!Z_dw")</f>
        <v>-81.400000000000006</v>
      </c>
      <c r="G104" s="118">
        <f ca="1">(F104-E104)/E104</f>
        <v>0</v>
      </c>
      <c r="I104" s="139"/>
      <c r="K104" s="106">
        <v>41</v>
      </c>
      <c r="L104" s="105" t="s">
        <v>479</v>
      </c>
      <c r="M104" s="103" t="s">
        <v>128</v>
      </c>
      <c r="N104" s="107">
        <v>-81.400000000000006</v>
      </c>
      <c r="O104" s="107">
        <v>-81.400000000000006</v>
      </c>
      <c r="P104" s="107">
        <v>-81.400000000000006</v>
      </c>
      <c r="Q104" s="107">
        <v>-81.400000000000006</v>
      </c>
      <c r="R104" t="s">
        <v>478</v>
      </c>
      <c r="AB104" s="169">
        <v>53577.15</v>
      </c>
      <c r="AC104" s="169">
        <v>-174749.9</v>
      </c>
      <c r="AD104" s="170">
        <v>564052</v>
      </c>
    </row>
    <row r="105" spans="2:30">
      <c r="B105" s="106">
        <f t="shared" ref="B105:B112" si="7">B104+1</f>
        <v>42</v>
      </c>
      <c r="D105" s="103"/>
      <c r="E105" s="110"/>
      <c r="F105" s="104"/>
      <c r="G105" s="104"/>
      <c r="K105" s="106">
        <v>42</v>
      </c>
      <c r="M105" s="103"/>
      <c r="N105" s="104"/>
      <c r="O105" s="104"/>
      <c r="P105" s="104"/>
      <c r="Q105" s="104"/>
      <c r="R105" t="s">
        <v>417</v>
      </c>
      <c r="AB105" s="169">
        <v>80365.5</v>
      </c>
      <c r="AC105" s="169">
        <v>-174749.9</v>
      </c>
      <c r="AD105" s="170">
        <v>279180</v>
      </c>
    </row>
    <row r="106" spans="2:30" ht="15.75">
      <c r="B106" s="106">
        <f t="shared" si="7"/>
        <v>43</v>
      </c>
      <c r="C106" s="103" t="s">
        <v>131</v>
      </c>
      <c r="D106" s="103" t="s">
        <v>128</v>
      </c>
      <c r="E106" s="107" cm="1">
        <f t="array" ref="E106">INDEX(N106:Q106,case_number)</f>
        <v>-864.50750371760535</v>
      </c>
      <c r="F106" s="107" cm="1">
        <f t="array" aca="1" ref="F106" ca="1">INDIRECT(sheet_name&amp;"!point4.Z")</f>
        <v>-864.50749415848122</v>
      </c>
      <c r="G106" s="118">
        <f ca="1">(F106-E106)/E106</f>
        <v>-1.1057306133566065E-8</v>
      </c>
      <c r="I106" s="103"/>
      <c r="K106" s="106">
        <v>43</v>
      </c>
      <c r="L106" s="103" t="s">
        <v>480</v>
      </c>
      <c r="M106" s="103" t="s">
        <v>128</v>
      </c>
      <c r="N106" s="107">
        <v>-1046.7016950243917</v>
      </c>
      <c r="O106" s="107">
        <v>-918.57425917066132</v>
      </c>
      <c r="P106" s="107">
        <v>-878.66451138435457</v>
      </c>
      <c r="Q106" s="107">
        <v>-864.50750371760535</v>
      </c>
      <c r="R106" t="s">
        <v>417</v>
      </c>
      <c r="AB106" s="169">
        <v>107154</v>
      </c>
      <c r="AC106" s="169">
        <v>-174749.9</v>
      </c>
      <c r="AD106" s="170">
        <v>145806</v>
      </c>
    </row>
    <row r="107" spans="2:30" ht="15.75">
      <c r="B107" s="106">
        <f t="shared" si="7"/>
        <v>44</v>
      </c>
      <c r="C107" s="105" t="s">
        <v>130</v>
      </c>
      <c r="D107" s="103" t="s">
        <v>123</v>
      </c>
      <c r="E107" s="113" cm="1">
        <f t="array" ref="E107">INDEX(N107:Q107,case_number)</f>
        <v>5.4154628214749562E-2</v>
      </c>
      <c r="F107" s="113" cm="1">
        <f t="array" aca="1" ref="F107" ca="1">INDIRECT(sheet_name&amp;"!true_force_initial_slope")</f>
        <v>5.4144001146884835E-2</v>
      </c>
      <c r="G107" s="118">
        <f ca="1">(F107-E107)/E107</f>
        <v>-1.9623563516280409E-4</v>
      </c>
      <c r="H107" t="s">
        <v>360</v>
      </c>
      <c r="I107" s="105"/>
      <c r="K107" s="106">
        <v>44</v>
      </c>
      <c r="L107" s="105" t="s">
        <v>481</v>
      </c>
      <c r="M107" s="103" t="s">
        <v>123</v>
      </c>
      <c r="N107" s="109">
        <v>7.0381589863476979E-2</v>
      </c>
      <c r="O107" s="109">
        <v>5.9055904223445116E-2</v>
      </c>
      <c r="P107" s="109">
        <v>5.5480761257061625E-2</v>
      </c>
      <c r="Q107" s="109">
        <v>5.4154628214749562E-2</v>
      </c>
      <c r="R107" t="s">
        <v>417</v>
      </c>
      <c r="AB107" s="169">
        <v>133942.5</v>
      </c>
      <c r="AC107" s="169">
        <v>-174749.9</v>
      </c>
      <c r="AD107" s="170">
        <v>70057</v>
      </c>
    </row>
    <row r="108" spans="2:30" ht="15.75">
      <c r="B108" s="106">
        <f t="shared" si="7"/>
        <v>45</v>
      </c>
      <c r="C108" s="103" t="s">
        <v>129</v>
      </c>
      <c r="D108" s="103" t="s">
        <v>128</v>
      </c>
      <c r="E108" s="108" cm="1">
        <f t="array" ref="E108">INDEX(N108:Q108,case_number)</f>
        <v>906.79555214199615</v>
      </c>
      <c r="F108" s="108" cm="1">
        <f t="array" aca="1" ref="F108" ca="1">INDIRECT(sheet_name&amp;"!point4.Fs")</f>
        <v>906.79971346907462</v>
      </c>
      <c r="G108" s="118">
        <f ca="1">(F108-E108)/E108</f>
        <v>4.5890466364044326E-6</v>
      </c>
      <c r="I108" s="103"/>
      <c r="K108" s="106">
        <v>45</v>
      </c>
      <c r="L108" s="103" t="s">
        <v>482</v>
      </c>
      <c r="M108" s="103" t="s">
        <v>128</v>
      </c>
      <c r="N108" s="108">
        <v>894.03026600313706</v>
      </c>
      <c r="O108" s="108">
        <v>903.27995856604184</v>
      </c>
      <c r="P108" s="108">
        <v>905.88357899257835</v>
      </c>
      <c r="Q108" s="108">
        <v>906.79555214199615</v>
      </c>
      <c r="R108" t="s">
        <v>417</v>
      </c>
      <c r="AB108" s="169">
        <v>160731</v>
      </c>
      <c r="AC108" s="169">
        <v>-174749.9</v>
      </c>
      <c r="AD108" s="170">
        <v>39169.800000000003</v>
      </c>
    </row>
    <row r="109" spans="2:30" ht="15.75">
      <c r="B109" s="106">
        <f t="shared" si="7"/>
        <v>46</v>
      </c>
      <c r="C109" s="105" t="s">
        <v>127</v>
      </c>
      <c r="D109" s="103" t="s">
        <v>123</v>
      </c>
      <c r="E109" s="110" cm="1">
        <f t="array" ref="E109">INDEX(N109:Q109,case_number)</f>
        <v>7.3343438661516727E-2</v>
      </c>
      <c r="F109" s="104"/>
      <c r="G109" s="104"/>
      <c r="H109" t="s">
        <v>308</v>
      </c>
      <c r="I109" s="105"/>
      <c r="K109" s="106">
        <v>46</v>
      </c>
      <c r="L109" s="105" t="s">
        <v>483</v>
      </c>
      <c r="M109" s="103" t="s">
        <v>123</v>
      </c>
      <c r="N109" s="113">
        <v>9.0407185887992861E-2</v>
      </c>
      <c r="O109" s="113">
        <v>7.8407164578295094E-2</v>
      </c>
      <c r="P109" s="113">
        <v>7.4669340429163789E-2</v>
      </c>
      <c r="Q109" s="113">
        <v>7.3343438661516727E-2</v>
      </c>
      <c r="R109" t="s">
        <v>308</v>
      </c>
      <c r="AB109" s="169">
        <v>187519.5</v>
      </c>
      <c r="AC109" s="169">
        <v>-174749.9</v>
      </c>
      <c r="AD109" s="170">
        <v>16842.400000000001</v>
      </c>
    </row>
    <row r="110" spans="2:30" ht="15.75">
      <c r="B110" s="106">
        <f t="shared" si="7"/>
        <v>47</v>
      </c>
      <c r="C110" s="105" t="s">
        <v>127</v>
      </c>
      <c r="D110" s="103" t="s">
        <v>123</v>
      </c>
      <c r="E110" s="110" cm="1">
        <f t="array" ref="E110">INDEX(N110:Q110,case_number)</f>
        <v>7.3343438661516727E-2</v>
      </c>
      <c r="F110" s="104" cm="1">
        <f t="array" aca="1" ref="F110" ca="1">INDIRECT(sheet_name&amp;"!polynomial_initial_slope")</f>
        <v>7.3342573129675792E-2</v>
      </c>
      <c r="G110" s="118">
        <f ca="1">(F110-E110)/E110</f>
        <v>-1.180108073374556E-5</v>
      </c>
      <c r="H110" t="s">
        <v>307</v>
      </c>
      <c r="I110" s="105"/>
      <c r="K110" s="106">
        <v>47</v>
      </c>
      <c r="L110" s="105" t="s">
        <v>483</v>
      </c>
      <c r="M110" s="103" t="s">
        <v>123</v>
      </c>
      <c r="N110" s="113">
        <v>9.0407185887992861E-2</v>
      </c>
      <c r="O110" s="113">
        <v>7.8407164578295094E-2</v>
      </c>
      <c r="P110" s="113">
        <v>7.4669340429163789E-2</v>
      </c>
      <c r="Q110" s="113">
        <v>7.3343438661516727E-2</v>
      </c>
      <c r="R110" t="s">
        <v>307</v>
      </c>
      <c r="AB110" s="169">
        <v>214308</v>
      </c>
      <c r="AC110" s="169">
        <v>-174749.9</v>
      </c>
      <c r="AD110" s="170">
        <v>6154.11</v>
      </c>
    </row>
    <row r="111" spans="2:30" ht="15.75">
      <c r="B111" s="106">
        <f t="shared" si="7"/>
        <v>48</v>
      </c>
      <c r="C111" s="105" t="s">
        <v>125</v>
      </c>
      <c r="D111" s="103" t="s">
        <v>121</v>
      </c>
      <c r="E111" s="128"/>
      <c r="F111" s="128"/>
      <c r="G111" s="128"/>
      <c r="H111" t="s">
        <v>271</v>
      </c>
      <c r="I111" s="105"/>
      <c r="K111" s="106">
        <v>48</v>
      </c>
      <c r="L111" s="105" t="s">
        <v>484</v>
      </c>
      <c r="M111" s="103" t="s">
        <v>121</v>
      </c>
      <c r="N111" s="128"/>
      <c r="O111" s="128"/>
      <c r="P111" s="128"/>
      <c r="Q111" s="128"/>
      <c r="R111" t="s">
        <v>271</v>
      </c>
      <c r="AB111" s="169">
        <v>241096.5</v>
      </c>
      <c r="AC111" s="169">
        <v>-174749.9</v>
      </c>
      <c r="AD111" s="170">
        <v>1571.42</v>
      </c>
    </row>
    <row r="112" spans="2:30">
      <c r="B112" s="106">
        <f t="shared" si="7"/>
        <v>49</v>
      </c>
      <c r="C112" s="105" t="s">
        <v>2</v>
      </c>
      <c r="D112" s="103" t="s">
        <v>126</v>
      </c>
      <c r="E112" s="107" cm="1">
        <f t="array" ref="E112">INDEX(N112:Q112,case_number)</f>
        <v>31.25</v>
      </c>
      <c r="F112" s="107" cm="1">
        <f t="array" aca="1" ref="F112" ca="1">INDIRECT(sheet_name&amp;"!a_star")</f>
        <v>31.250000000000007</v>
      </c>
      <c r="G112" s="118">
        <f ca="1">(F112-E112)/E112</f>
        <v>2.2737367544323206E-16</v>
      </c>
      <c r="I112" s="105"/>
      <c r="K112" s="106">
        <v>49</v>
      </c>
      <c r="L112" s="105" t="s">
        <v>2</v>
      </c>
      <c r="M112" s="103" t="s">
        <v>126</v>
      </c>
      <c r="N112" s="107">
        <v>31.25</v>
      </c>
      <c r="O112" s="107">
        <v>31.25</v>
      </c>
      <c r="P112" s="107">
        <v>31.25</v>
      </c>
      <c r="Q112" s="107">
        <v>31.25</v>
      </c>
      <c r="R112" t="s">
        <v>417</v>
      </c>
      <c r="AB112" s="169">
        <v>267885</v>
      </c>
      <c r="AC112" s="169">
        <v>-174749.9</v>
      </c>
      <c r="AD112" s="170">
        <v>869.21500000000003</v>
      </c>
    </row>
    <row r="113" spans="2:30" ht="15.75">
      <c r="B113" s="106"/>
      <c r="C113" s="105" t="s">
        <v>269</v>
      </c>
      <c r="D113" s="103" t="s">
        <v>268</v>
      </c>
      <c r="E113" s="114" cm="1">
        <f t="array" ref="E113">INDEX(N113:Q113,case_number)</f>
        <v>8.6870984986007647E-9</v>
      </c>
      <c r="F113" s="114" cm="1">
        <f t="array" aca="1" ref="F113" ca="1">1/(INDIRECT(sheet_name&amp;"!bolt.bending_stiffness")*1000000)</f>
        <v>8.6873267314791757E-9</v>
      </c>
      <c r="G113" s="118">
        <f ca="1">(F113-E113)/E113</f>
        <v>2.6272624679890713E-5</v>
      </c>
      <c r="H113" t="s">
        <v>270</v>
      </c>
      <c r="I113" s="105"/>
      <c r="K113" s="106"/>
      <c r="L113" s="105" t="s">
        <v>485</v>
      </c>
      <c r="M113" s="103" t="s">
        <v>268</v>
      </c>
      <c r="N113" s="114">
        <v>8.6870984986007647E-9</v>
      </c>
      <c r="O113" s="114">
        <v>8.6870984986007647E-9</v>
      </c>
      <c r="P113" s="114">
        <v>8.6870984986007647E-9</v>
      </c>
      <c r="Q113" s="114">
        <v>8.6870984986007647E-9</v>
      </c>
      <c r="R113" t="s">
        <v>486</v>
      </c>
      <c r="AB113" s="169">
        <v>294673.5</v>
      </c>
      <c r="AC113" s="169">
        <v>-174749.9</v>
      </c>
      <c r="AD113" s="170">
        <v>109.21</v>
      </c>
    </row>
    <row r="114" spans="2:30" ht="15.75">
      <c r="B114" s="106">
        <f>B112+1</f>
        <v>50</v>
      </c>
      <c r="C114" s="105" t="s">
        <v>125</v>
      </c>
      <c r="D114" s="103" t="s">
        <v>121</v>
      </c>
      <c r="E114" s="128"/>
      <c r="F114" s="128"/>
      <c r="G114" s="128"/>
      <c r="H114" t="s">
        <v>267</v>
      </c>
      <c r="I114" s="105"/>
      <c r="K114" s="106">
        <v>50</v>
      </c>
      <c r="L114" s="105" t="s">
        <v>484</v>
      </c>
      <c r="M114" s="103" t="s">
        <v>121</v>
      </c>
      <c r="N114" s="128"/>
      <c r="O114" s="128"/>
      <c r="P114" s="128"/>
      <c r="Q114" s="128"/>
      <c r="R114" t="s">
        <v>267</v>
      </c>
      <c r="AB114" s="169">
        <v>321462</v>
      </c>
      <c r="AC114" s="169">
        <v>-174749.9</v>
      </c>
      <c r="AD114" s="170">
        <v>118.9</v>
      </c>
    </row>
    <row r="115" spans="2:30" ht="15.75">
      <c r="B115" s="106">
        <f>B114+1</f>
        <v>51</v>
      </c>
      <c r="C115" s="105" t="s">
        <v>266</v>
      </c>
      <c r="D115" s="103" t="s">
        <v>123</v>
      </c>
      <c r="E115" s="128"/>
      <c r="F115" s="128"/>
      <c r="G115" s="128"/>
      <c r="H115" t="s">
        <v>265</v>
      </c>
      <c r="I115" s="105"/>
      <c r="K115" s="106">
        <v>51</v>
      </c>
      <c r="L115" s="105" t="s">
        <v>487</v>
      </c>
      <c r="M115" s="103" t="s">
        <v>123</v>
      </c>
      <c r="N115" s="128"/>
      <c r="O115" s="128"/>
      <c r="P115" s="128"/>
      <c r="Q115" s="128"/>
      <c r="R115" t="s">
        <v>265</v>
      </c>
      <c r="AB115" s="169">
        <v>348250.5</v>
      </c>
      <c r="AC115" s="169">
        <v>-174749.9</v>
      </c>
      <c r="AD115" s="170">
        <v>36.094999999999999</v>
      </c>
    </row>
    <row r="116" spans="2:30" ht="15.75">
      <c r="B116" s="106">
        <f>B115+1</f>
        <v>52</v>
      </c>
      <c r="C116" s="105" t="s">
        <v>264</v>
      </c>
      <c r="D116" s="103" t="s">
        <v>123</v>
      </c>
      <c r="E116" s="128"/>
      <c r="F116" s="128"/>
      <c r="G116" s="128"/>
      <c r="H116" t="s">
        <v>265</v>
      </c>
      <c r="I116" s="105"/>
      <c r="K116" s="106">
        <v>52</v>
      </c>
      <c r="L116" s="105" t="s">
        <v>488</v>
      </c>
      <c r="M116" s="103" t="s">
        <v>123</v>
      </c>
      <c r="N116" s="128"/>
      <c r="O116" s="128"/>
      <c r="P116" s="128"/>
      <c r="Q116" s="128"/>
      <c r="R116" t="s">
        <v>265</v>
      </c>
      <c r="AB116" s="169">
        <v>375039</v>
      </c>
      <c r="AC116" s="169">
        <v>-174749.9</v>
      </c>
      <c r="AD116" s="170">
        <v>23.25</v>
      </c>
    </row>
    <row r="117" spans="2:30" ht="15.75">
      <c r="B117" s="106">
        <f>B116+1</f>
        <v>53</v>
      </c>
      <c r="C117" s="105" t="s">
        <v>124</v>
      </c>
      <c r="D117" s="103" t="s">
        <v>123</v>
      </c>
      <c r="E117" s="152" cm="1">
        <f t="array" ref="E117">INDEX(N117:Q117,case_number)</f>
        <v>0.44038369123479643</v>
      </c>
      <c r="F117" s="113" t="s">
        <v>86</v>
      </c>
      <c r="G117" s="118" t="s">
        <v>86</v>
      </c>
      <c r="H117" t="s">
        <v>308</v>
      </c>
      <c r="I117" s="105"/>
      <c r="K117" s="106">
        <v>53</v>
      </c>
      <c r="L117" s="105" t="s">
        <v>489</v>
      </c>
      <c r="M117" s="103" t="s">
        <v>123</v>
      </c>
      <c r="N117" s="109">
        <v>0.40515085751588659</v>
      </c>
      <c r="O117" s="109">
        <v>0.42966007889748026</v>
      </c>
      <c r="P117" s="109">
        <v>0.43710508696387862</v>
      </c>
      <c r="Q117" s="109">
        <v>0.44038369123479643</v>
      </c>
      <c r="R117" t="s">
        <v>308</v>
      </c>
      <c r="AB117" s="169">
        <v>401827.5</v>
      </c>
      <c r="AC117" s="169">
        <v>-174749.9</v>
      </c>
      <c r="AD117" s="170">
        <v>25.65</v>
      </c>
    </row>
    <row r="118" spans="2:30" ht="15.75">
      <c r="C118" s="105" t="s">
        <v>124</v>
      </c>
      <c r="D118" s="103" t="s">
        <v>123</v>
      </c>
      <c r="E118" s="152" cm="1">
        <f t="array" ref="E118">INDEX(N118:Q118,case_number)</f>
        <v>0.12297656244885136</v>
      </c>
      <c r="F118" s="109" cm="1">
        <f t="array" aca="1" ref="F118" ca="1">INDIRECT(sheet_name&amp;"!true_moment_initial_slope")</f>
        <v>0.12930910776048585</v>
      </c>
      <c r="G118" s="118">
        <f ca="1">(F118-E118)/E118</f>
        <v>5.1493920349809215E-2</v>
      </c>
      <c r="H118" t="s">
        <v>307</v>
      </c>
      <c r="L118" s="105" t="s">
        <v>489</v>
      </c>
      <c r="M118" s="103" t="s">
        <v>123</v>
      </c>
      <c r="N118" s="114">
        <v>0.14333807518670233</v>
      </c>
      <c r="O118" s="114">
        <v>0.12945736524707055</v>
      </c>
      <c r="P118" s="114">
        <v>0.12468359285345441</v>
      </c>
      <c r="Q118" s="114">
        <v>0.12297656244885136</v>
      </c>
      <c r="R118" t="s">
        <v>307</v>
      </c>
      <c r="AB118" s="169">
        <v>455404.5</v>
      </c>
      <c r="AC118" s="169">
        <v>-174749.9</v>
      </c>
      <c r="AD118" s="170">
        <v>3.11</v>
      </c>
    </row>
    <row r="119" spans="2:30" ht="15.75">
      <c r="B119" s="106">
        <f>B117+1</f>
        <v>54</v>
      </c>
      <c r="C119" s="105" t="s">
        <v>122</v>
      </c>
      <c r="D119" s="103" t="s">
        <v>121</v>
      </c>
      <c r="E119" s="153" cm="1">
        <f t="array" ref="E119">INDEX(N119:Q119,case_number)</f>
        <v>-208.28111902692837</v>
      </c>
      <c r="F119" s="108" t="s">
        <v>86</v>
      </c>
      <c r="G119" s="118" t="s">
        <v>86</v>
      </c>
      <c r="H119" t="s">
        <v>308</v>
      </c>
      <c r="I119" s="105"/>
      <c r="K119" s="106">
        <v>54</v>
      </c>
      <c r="L119" s="105" t="s">
        <v>490</v>
      </c>
      <c r="M119" s="103" t="s">
        <v>121</v>
      </c>
      <c r="N119" s="108">
        <v>-228.52568455211929</v>
      </c>
      <c r="O119" s="108">
        <v>-214.82450954535139</v>
      </c>
      <c r="P119" s="108">
        <v>-209.82454086979649</v>
      </c>
      <c r="Q119" s="108">
        <v>-208.28111902692837</v>
      </c>
      <c r="R119" t="s">
        <v>308</v>
      </c>
      <c r="AB119" s="169">
        <v>0.12902715000000001</v>
      </c>
      <c r="AC119" s="169">
        <v>-153435.1</v>
      </c>
      <c r="AD119" s="170">
        <v>18138600</v>
      </c>
    </row>
    <row r="120" spans="2:30" ht="15.75">
      <c r="C120" s="105" t="s">
        <v>122</v>
      </c>
      <c r="D120" s="103" t="s">
        <v>121</v>
      </c>
      <c r="E120" s="153" cm="1">
        <f t="array" ref="E120">INDEX(N120:Q120,case_number)</f>
        <v>-56.936765268990484</v>
      </c>
      <c r="F120" s="109" cm="1">
        <f t="array" aca="1" ref="F120" ca="1">INDIRECT(sheet_name&amp;"!point4.Ms")</f>
        <v>-59.416005440501245</v>
      </c>
      <c r="G120" s="118">
        <f ca="1">(F120-E120)/E120</f>
        <v>4.3543748223101648E-2</v>
      </c>
      <c r="H120" t="s">
        <v>307</v>
      </c>
      <c r="L120" s="105" t="s">
        <v>490</v>
      </c>
      <c r="M120" s="103" t="s">
        <v>121</v>
      </c>
      <c r="N120" s="108">
        <v>-79.053743086255594</v>
      </c>
      <c r="O120" s="108">
        <v>-63.321899668729543</v>
      </c>
      <c r="P120" s="108">
        <v>-58.576936385364661</v>
      </c>
      <c r="Q120" s="108">
        <v>-56.936765268990484</v>
      </c>
      <c r="R120" t="s">
        <v>307</v>
      </c>
      <c r="AB120" s="169">
        <v>26788.65</v>
      </c>
      <c r="AC120" s="169">
        <v>-153435.1</v>
      </c>
      <c r="AD120" s="170">
        <v>1574830</v>
      </c>
    </row>
    <row r="121" spans="2:30" ht="15.75">
      <c r="C121" s="105" t="s">
        <v>337</v>
      </c>
      <c r="D121" s="103" t="s">
        <v>128</v>
      </c>
      <c r="E121" s="153" cm="1">
        <f t="array" ref="E121">INDEX(N121:Q121,case_number)</f>
        <v>-81.300000000000011</v>
      </c>
      <c r="F121" s="109" cm="1">
        <f t="array" aca="1" ref="F121" ca="1">INDIRECT(sheet_name&amp;"!DZdwDZ")</f>
        <v>-81.3</v>
      </c>
      <c r="G121" s="118">
        <f t="shared" ref="G121:G127" ca="1" si="8">(F121-E121)/E121</f>
        <v>-1.7479526094959412E-16</v>
      </c>
      <c r="H121" s="150" t="s">
        <v>332</v>
      </c>
      <c r="L121" s="105" t="s">
        <v>491</v>
      </c>
      <c r="M121" s="103" t="s">
        <v>128</v>
      </c>
      <c r="N121" s="109">
        <v>-81.300000000000011</v>
      </c>
      <c r="O121" s="109">
        <v>-81.300000000000011</v>
      </c>
      <c r="P121" s="109">
        <v>-81.300000000000011</v>
      </c>
      <c r="Q121" s="109">
        <v>-81.300000000000011</v>
      </c>
      <c r="AB121" s="169">
        <v>53577.15</v>
      </c>
      <c r="AC121" s="169">
        <v>-153435.1</v>
      </c>
      <c r="AD121" s="170">
        <v>915602</v>
      </c>
    </row>
    <row r="122" spans="2:30" ht="18.75">
      <c r="C122" s="151" t="s">
        <v>338</v>
      </c>
      <c r="D122" s="103" t="s">
        <v>121</v>
      </c>
      <c r="E122" s="153" cm="1">
        <f t="array" ref="E122">INDEX(N122:Q122,case_number)</f>
        <v>0</v>
      </c>
      <c r="F122" s="109" cm="1">
        <f t="array" aca="1" ref="F122" ca="1">INDIRECT(sheet_name&amp;"!MZTlow1")</f>
        <v>7.4857300389025105E-14</v>
      </c>
      <c r="G122" s="118" t="e">
        <f t="shared" ca="1" si="8"/>
        <v>#DIV/0!</v>
      </c>
      <c r="H122" s="150" t="s">
        <v>332</v>
      </c>
      <c r="L122" s="151" t="s">
        <v>492</v>
      </c>
      <c r="M122" s="103" t="s">
        <v>121</v>
      </c>
      <c r="N122" s="113">
        <v>0</v>
      </c>
      <c r="O122" s="113">
        <v>0</v>
      </c>
      <c r="P122" s="113">
        <v>0</v>
      </c>
      <c r="Q122" s="113">
        <v>0</v>
      </c>
      <c r="R122" s="150" t="s">
        <v>493</v>
      </c>
      <c r="AB122" s="169">
        <v>80365.5</v>
      </c>
      <c r="AC122" s="169">
        <v>-153435.1</v>
      </c>
      <c r="AD122" s="170">
        <v>428559</v>
      </c>
    </row>
    <row r="123" spans="2:30" ht="18.75">
      <c r="C123" s="151" t="s">
        <v>339</v>
      </c>
      <c r="D123" s="103" t="s">
        <v>121</v>
      </c>
      <c r="E123" s="153" cm="1">
        <f t="array" ref="E123">INDEX(N123:Q123,case_number)</f>
        <v>-35.723524078761344</v>
      </c>
      <c r="F123" s="109" cm="1">
        <f t="array" aca="1" ref="F123" ca="1">INDIRECT(sheet_name&amp;"!MZThigh1")</f>
        <v>-35.722340705909588</v>
      </c>
      <c r="G123" s="118">
        <f t="shared" ca="1" si="8"/>
        <v>-3.3125871040796822E-5</v>
      </c>
      <c r="H123" s="150" t="s">
        <v>332</v>
      </c>
      <c r="L123" s="151" t="s">
        <v>494</v>
      </c>
      <c r="M123" s="103" t="s">
        <v>121</v>
      </c>
      <c r="N123" s="109">
        <v>-34.429023240128608</v>
      </c>
      <c r="O123" s="109">
        <v>-35.329524400090406</v>
      </c>
      <c r="P123" s="109">
        <v>-35.603063828185803</v>
      </c>
      <c r="Q123" s="109">
        <v>-35.723524078761344</v>
      </c>
      <c r="R123" s="150" t="s">
        <v>493</v>
      </c>
      <c r="AB123" s="169">
        <v>107154</v>
      </c>
      <c r="AC123" s="169">
        <v>-153435.1</v>
      </c>
      <c r="AD123" s="170">
        <v>194489</v>
      </c>
    </row>
    <row r="124" spans="2:30" ht="18.75">
      <c r="C124" s="151" t="s">
        <v>340</v>
      </c>
      <c r="D124" s="103" t="s">
        <v>121</v>
      </c>
      <c r="E124" s="153" cm="1">
        <f t="array" ref="E124">INDEX(N124:Q124,case_number)</f>
        <v>-8.7848308514443847</v>
      </c>
      <c r="F124" s="109" cm="1">
        <f t="array" aca="1" ref="F124" ca="1">INDIRECT(sheet_name&amp;"!MZT1_")</f>
        <v>-8.7845397654096438</v>
      </c>
      <c r="G124" s="118">
        <f t="shared" ca="1" si="8"/>
        <v>-3.313507563928434E-5</v>
      </c>
      <c r="H124" s="150" t="s">
        <v>333</v>
      </c>
      <c r="L124" s="151" t="s">
        <v>495</v>
      </c>
      <c r="M124" s="103" t="s">
        <v>121</v>
      </c>
      <c r="N124" s="113">
        <v>-9.8714996166268723</v>
      </c>
      <c r="O124" s="113">
        <v>-9.1327127462785445</v>
      </c>
      <c r="P124" s="113">
        <v>-8.8740345183870915</v>
      </c>
      <c r="Q124" s="113">
        <v>-8.7848308514443847</v>
      </c>
      <c r="R124" s="150" t="s">
        <v>493</v>
      </c>
      <c r="AB124" s="169">
        <v>133942.5</v>
      </c>
      <c r="AC124" s="169">
        <v>-153435.1</v>
      </c>
      <c r="AD124" s="170">
        <v>84338.3</v>
      </c>
    </row>
    <row r="125" spans="2:30" ht="18.75">
      <c r="C125" s="151" t="s">
        <v>338</v>
      </c>
      <c r="D125" s="103" t="s">
        <v>121</v>
      </c>
      <c r="E125" s="153" cm="1">
        <f t="array" ref="E125">INDEX(N125:Q125,case_number)</f>
        <v>3.4823547741148894E-3</v>
      </c>
      <c r="F125" s="109" cm="1">
        <f t="array" aca="1" ref="F125" ca="1">INDIRECT(sheet_name&amp;"!MZTlow2")</f>
        <v>3.4821842778265419E-3</v>
      </c>
      <c r="G125" s="118">
        <f t="shared" ca="1" si="8"/>
        <v>-4.8960057032342498E-5</v>
      </c>
      <c r="H125" s="150" t="s">
        <v>333</v>
      </c>
      <c r="L125" s="151" t="s">
        <v>492</v>
      </c>
      <c r="M125" s="103" t="s">
        <v>121</v>
      </c>
      <c r="N125" s="113">
        <v>4.525811985985004E-3</v>
      </c>
      <c r="O125" s="113">
        <v>3.7975260248610471E-3</v>
      </c>
      <c r="P125" s="113">
        <v>3.5676303245755826E-3</v>
      </c>
      <c r="Q125" s="113">
        <v>3.4823547741148894E-3</v>
      </c>
      <c r="R125" s="150" t="s">
        <v>496</v>
      </c>
      <c r="AB125" s="169">
        <v>160731</v>
      </c>
      <c r="AC125" s="169">
        <v>-153435.1</v>
      </c>
      <c r="AD125" s="170">
        <v>45762.9</v>
      </c>
    </row>
    <row r="126" spans="2:30" ht="18.75">
      <c r="C126" s="151" t="s">
        <v>339</v>
      </c>
      <c r="D126" s="103" t="s">
        <v>121</v>
      </c>
      <c r="E126" s="153" cm="1">
        <f t="array" ref="E126">INDEX(N126:Q126,case_number)</f>
        <v>-35.679637685544201</v>
      </c>
      <c r="F126" s="109" cm="1">
        <f t="array" aca="1" ref="F126" ca="1">INDIRECT(sheet_name&amp;"!MZThigh2")</f>
        <v>-35.678455766467437</v>
      </c>
      <c r="G126" s="118">
        <f t="shared" ca="1" si="8"/>
        <v>-3.3125871041083058E-5</v>
      </c>
      <c r="H126" s="150" t="s">
        <v>333</v>
      </c>
      <c r="L126" s="151" t="s">
        <v>494</v>
      </c>
      <c r="M126" s="103" t="s">
        <v>121</v>
      </c>
      <c r="N126" s="109">
        <v>-34.386727142782007</v>
      </c>
      <c r="O126" s="109">
        <v>-35.286122035962528</v>
      </c>
      <c r="P126" s="109">
        <v>-35.559325420534471</v>
      </c>
      <c r="Q126" s="109">
        <v>-35.679637685544201</v>
      </c>
      <c r="R126" s="150" t="s">
        <v>496</v>
      </c>
      <c r="AB126" s="169">
        <v>187519.5</v>
      </c>
      <c r="AC126" s="169">
        <v>-153435.1</v>
      </c>
      <c r="AD126" s="170">
        <v>23205.599999999999</v>
      </c>
    </row>
    <row r="127" spans="2:30" ht="18.75">
      <c r="C127" s="151" t="s">
        <v>340</v>
      </c>
      <c r="D127" s="103" t="s">
        <v>121</v>
      </c>
      <c r="E127" s="153" cm="1">
        <f t="array" ref="E127">INDEX(N127:Q127,case_number)</f>
        <v>-8.7725331951995003</v>
      </c>
      <c r="F127" s="109" cm="1">
        <f t="array" aca="1" ref="F127" ca="1">INDIRECT(sheet_name&amp;"!MZT2_")</f>
        <v>-8.772242558209097</v>
      </c>
      <c r="G127" s="118">
        <f t="shared" ca="1" si="8"/>
        <v>-3.3130338060419864E-5</v>
      </c>
      <c r="L127" s="151" t="s">
        <v>495</v>
      </c>
      <c r="M127" s="103" t="s">
        <v>121</v>
      </c>
      <c r="N127" s="113">
        <v>-9.8571658091082028</v>
      </c>
      <c r="O127" s="113">
        <v>-9.1197670097538381</v>
      </c>
      <c r="P127" s="113">
        <v>-8.8615661591017467</v>
      </c>
      <c r="Q127" s="113">
        <v>-8.7725331951995003</v>
      </c>
      <c r="R127" s="150" t="s">
        <v>496</v>
      </c>
      <c r="AB127" s="169">
        <v>214308</v>
      </c>
      <c r="AC127" s="169">
        <v>-153435.1</v>
      </c>
      <c r="AD127" s="170">
        <v>10558.8</v>
      </c>
    </row>
    <row r="128" spans="2:30" ht="18.75">
      <c r="C128" s="151" t="s">
        <v>341</v>
      </c>
      <c r="D128" s="103" t="s">
        <v>121</v>
      </c>
      <c r="E128" s="153" cm="1">
        <f t="array" ref="E128">INDEX(N128:Q128,case_number)</f>
        <v>-8.7848308514443847</v>
      </c>
      <c r="F128" s="109" cm="1">
        <f t="array" aca="1" ref="F128" ca="1">INDIRECT(sheet_name&amp;"!point1.Ms")</f>
        <v>-8.7845397654096988</v>
      </c>
      <c r="G128" s="118">
        <f ca="1">(F128-E128)/E128</f>
        <v>-3.313507563301591E-5</v>
      </c>
      <c r="L128" s="151" t="s">
        <v>497</v>
      </c>
      <c r="M128" s="103" t="s">
        <v>121</v>
      </c>
      <c r="N128" s="108">
        <v>-9.8714996166268723</v>
      </c>
      <c r="O128" s="108">
        <v>-9.1327127462785445</v>
      </c>
      <c r="P128" s="108">
        <v>-8.8740345183870915</v>
      </c>
      <c r="Q128" s="108">
        <v>-8.7848308514443847</v>
      </c>
      <c r="AB128" s="169">
        <v>241096.5</v>
      </c>
      <c r="AC128" s="169">
        <v>-153435.1</v>
      </c>
      <c r="AD128" s="170">
        <v>5582.2</v>
      </c>
    </row>
    <row r="129" spans="3:30" ht="18.75">
      <c r="C129" s="151" t="s">
        <v>342</v>
      </c>
      <c r="D129" s="103" t="s">
        <v>121</v>
      </c>
      <c r="E129" s="108" cm="1">
        <f t="array" ref="E129">INDEX(N129:Q129,case_number)</f>
        <v>573.57607514919789</v>
      </c>
      <c r="F129" s="109" cm="1">
        <f t="array" aca="1" ref="F129" ca="1">INDIRECT(sheet_name&amp;"!point2.Ms")</f>
        <v>573.55733189441719</v>
      </c>
      <c r="G129" s="118">
        <f ca="1">(F129-E129)/E129</f>
        <v>-3.2677888065374018E-5</v>
      </c>
      <c r="L129" s="151" t="s">
        <v>498</v>
      </c>
      <c r="M129" s="103" t="s">
        <v>121</v>
      </c>
      <c r="N129" s="108">
        <v>531.11582175975275</v>
      </c>
      <c r="O129" s="108">
        <v>561.53557649978143</v>
      </c>
      <c r="P129" s="108">
        <v>570.98805916723973</v>
      </c>
      <c r="Q129" s="108">
        <v>573.57607514919789</v>
      </c>
      <c r="AB129" s="169">
        <v>267885</v>
      </c>
      <c r="AC129" s="169">
        <v>-153435.1</v>
      </c>
      <c r="AD129" s="170">
        <v>2217.0500000000002</v>
      </c>
    </row>
    <row r="130" spans="3:30" ht="18.75">
      <c r="C130" s="151" t="s">
        <v>343</v>
      </c>
      <c r="D130" s="103" t="s">
        <v>121</v>
      </c>
      <c r="E130" s="108" cm="1">
        <f t="array" ref="E130">INDEX(N130:Q130,case_number)</f>
        <v>22.403250901040828</v>
      </c>
      <c r="F130" s="109" cm="1">
        <f t="array" aca="1" ref="F130" ca="1">INDIRECT(sheet_name&amp;"!point3.Ms")</f>
        <v>22.40245038750443</v>
      </c>
      <c r="G130" s="118">
        <f ca="1">(F130-E130)/E130</f>
        <v>-3.57320256749045E-5</v>
      </c>
      <c r="H130" t="s">
        <v>334</v>
      </c>
      <c r="L130" s="151" t="s">
        <v>499</v>
      </c>
      <c r="M130" s="103" t="s">
        <v>121</v>
      </c>
      <c r="N130" s="108">
        <v>26.776539817946492</v>
      </c>
      <c r="O130" s="108">
        <v>23.695483521910745</v>
      </c>
      <c r="P130" s="108">
        <v>22.756023893792218</v>
      </c>
      <c r="Q130" s="108">
        <v>22.403250901040828</v>
      </c>
      <c r="AB130" s="169">
        <v>294673.5</v>
      </c>
      <c r="AC130" s="169">
        <v>-153435.1</v>
      </c>
      <c r="AD130" s="170">
        <v>1169.0899999999999</v>
      </c>
    </row>
    <row r="131" spans="3:30" ht="15.75">
      <c r="C131" s="112" t="s">
        <v>344</v>
      </c>
      <c r="E131" s="108" cm="1">
        <f t="array" ref="E131">INDEX(N131:Q131,case_number)</f>
        <v>1.3785285981378329E-4</v>
      </c>
      <c r="F131" s="109" cm="1">
        <f t="array" aca="1" ref="F131" ca="1">INDIRECT(sheet_name&amp;"!Ms_coeff.tens.2")*1000^2</f>
        <v>1.3784854873546084E-4</v>
      </c>
      <c r="G131" s="118">
        <f t="shared" ref="G131:G135" ca="1" si="9">(F131-E131)/E131</f>
        <v>-3.1273042345847244E-5</v>
      </c>
      <c r="H131" t="s">
        <v>335</v>
      </c>
      <c r="L131" s="112" t="s">
        <v>500</v>
      </c>
      <c r="N131" s="154">
        <v>1.2349946630645678E-4</v>
      </c>
      <c r="O131" s="154">
        <v>1.3329012053108863E-4</v>
      </c>
      <c r="P131" s="154">
        <v>1.3650162626335132E-4</v>
      </c>
      <c r="Q131" s="154">
        <v>1.3785285981378329E-4</v>
      </c>
      <c r="R131" t="s">
        <v>334</v>
      </c>
      <c r="AB131" s="169">
        <v>321462</v>
      </c>
      <c r="AC131" s="169">
        <v>-153435.1</v>
      </c>
      <c r="AD131" s="170">
        <v>326.435</v>
      </c>
    </row>
    <row r="132" spans="3:30" ht="15.75">
      <c r="C132" s="112" t="s">
        <v>345</v>
      </c>
      <c r="E132" s="108" cm="1">
        <f t="array" ref="E132">INDEX(N132:Q132,case_number)</f>
        <v>0.15175620107933283</v>
      </c>
      <c r="F132" s="109" cm="1">
        <f t="array" aca="1" ref="F132" ca="1">INDIRECT(sheet_name&amp;"!Ms_coeff.tens.1")*1000</f>
        <v>0.15175085149461887</v>
      </c>
      <c r="G132" s="118">
        <f t="shared" ca="1" si="9"/>
        <v>-3.5251177058411903E-5</v>
      </c>
      <c r="H132" t="s">
        <v>336</v>
      </c>
      <c r="L132" s="112" t="s">
        <v>501</v>
      </c>
      <c r="N132" s="154">
        <v>0.16945107301607484</v>
      </c>
      <c r="O132" s="154">
        <v>0.15737505603186419</v>
      </c>
      <c r="P132" s="154">
        <v>0.15320450546504558</v>
      </c>
      <c r="Q132" s="154">
        <v>0.15175620107933283</v>
      </c>
      <c r="R132" t="s">
        <v>335</v>
      </c>
      <c r="AB132" s="169">
        <v>348250.5</v>
      </c>
      <c r="AC132" s="169">
        <v>-153435.1</v>
      </c>
      <c r="AD132" s="170">
        <v>290.89999999999998</v>
      </c>
    </row>
    <row r="133" spans="3:30" ht="15.75">
      <c r="C133" s="112" t="s">
        <v>346</v>
      </c>
      <c r="E133" s="108" cm="1">
        <f t="array" ref="E133">INDEX(N133:Q133,case_number)</f>
        <v>2.6547163814014993</v>
      </c>
      <c r="F133" s="109" cm="1">
        <f t="array" aca="1" ref="F133" ca="1">INDIRECT(sheet_name&amp;"!Ms_coeff.tens.0")</f>
        <v>2.6546005762730638</v>
      </c>
      <c r="G133" s="118">
        <f t="shared" ca="1" si="9"/>
        <v>-4.3622410758028912E-5</v>
      </c>
      <c r="L133" s="112" t="s">
        <v>502</v>
      </c>
      <c r="N133" s="154">
        <v>3.1035152031136448</v>
      </c>
      <c r="O133" s="154">
        <v>2.7944418076809683</v>
      </c>
      <c r="P133" s="154">
        <v>2.6923579109116957</v>
      </c>
      <c r="Q133" s="154">
        <v>2.6547163814014993</v>
      </c>
      <c r="R133" t="s">
        <v>336</v>
      </c>
      <c r="AB133" s="169">
        <v>375039</v>
      </c>
      <c r="AC133" s="169">
        <v>-153435.1</v>
      </c>
      <c r="AD133" s="170">
        <v>64.86</v>
      </c>
    </row>
    <row r="134" spans="3:30">
      <c r="L134" s="112"/>
      <c r="N134" s="112"/>
      <c r="O134" s="112"/>
      <c r="P134" s="112"/>
      <c r="Q134" s="112"/>
      <c r="AB134" s="169">
        <v>401827.5</v>
      </c>
      <c r="AC134" s="169">
        <v>-153435.1</v>
      </c>
      <c r="AD134" s="170">
        <v>34.454999999999998</v>
      </c>
    </row>
    <row r="135" spans="3:30">
      <c r="C135" s="103" t="s">
        <v>93</v>
      </c>
      <c r="E135" s="109" cm="1">
        <f t="array" ref="E135">INDEX(N135:Q135,case_number)</f>
        <v>2.5063666654896624</v>
      </c>
      <c r="F135" s="109" cm="1">
        <f t="array" aca="1" ref="F135" ca="1">INDIRECT(sheet_name&amp;"!Damage")</f>
        <v>2.4459063458696608</v>
      </c>
      <c r="G135" s="118">
        <f t="shared" ca="1" si="9"/>
        <v>-2.4122695395084805E-2</v>
      </c>
      <c r="L135" s="103" t="s">
        <v>93</v>
      </c>
      <c r="M135" s="158"/>
      <c r="N135" s="109">
        <v>3.7277184471888702</v>
      </c>
      <c r="O135" s="109">
        <v>2.8142019316537841</v>
      </c>
      <c r="P135" s="109">
        <v>2.5727645270532125</v>
      </c>
      <c r="Q135" s="109">
        <v>2.5063666654896624</v>
      </c>
      <c r="R135" t="s">
        <v>397</v>
      </c>
      <c r="AB135" s="169">
        <v>428616</v>
      </c>
      <c r="AC135" s="169">
        <v>-153435.1</v>
      </c>
      <c r="AD135" s="170">
        <v>5.5650000000000004</v>
      </c>
    </row>
    <row r="136" spans="3:30">
      <c r="AB136" s="169">
        <v>455404.5</v>
      </c>
      <c r="AC136" s="169">
        <v>-153435.1</v>
      </c>
      <c r="AD136" s="170">
        <v>6.2249999999999996</v>
      </c>
    </row>
    <row r="137" spans="3:30">
      <c r="AB137" s="169">
        <v>482193</v>
      </c>
      <c r="AC137" s="169">
        <v>-153435.1</v>
      </c>
      <c r="AD137" s="170">
        <v>1.86</v>
      </c>
    </row>
    <row r="138" spans="3:30">
      <c r="AB138" s="169">
        <v>508981.5</v>
      </c>
      <c r="AC138" s="169">
        <v>-153435.1</v>
      </c>
      <c r="AD138" s="170">
        <v>10.1</v>
      </c>
    </row>
    <row r="139" spans="3:30">
      <c r="AB139" s="169">
        <v>535770</v>
      </c>
      <c r="AC139" s="169">
        <v>-153435.1</v>
      </c>
      <c r="AD139" s="170">
        <v>1.54</v>
      </c>
    </row>
    <row r="140" spans="3:30">
      <c r="AB140" s="169">
        <v>0.12902715000000001</v>
      </c>
      <c r="AC140" s="169">
        <v>-132120.29999999999</v>
      </c>
      <c r="AD140" s="170">
        <v>23818200</v>
      </c>
    </row>
    <row r="141" spans="3:30">
      <c r="AB141" s="169">
        <v>26788.65</v>
      </c>
      <c r="AC141" s="169">
        <v>-132120.29999999999</v>
      </c>
      <c r="AD141" s="170">
        <v>1973110</v>
      </c>
    </row>
    <row r="142" spans="3:30">
      <c r="AB142" s="169">
        <v>53577.15</v>
      </c>
      <c r="AC142" s="169">
        <v>-132120.29999999999</v>
      </c>
      <c r="AD142" s="170">
        <v>970059</v>
      </c>
    </row>
    <row r="143" spans="3:30">
      <c r="AB143" s="169">
        <v>80365.5</v>
      </c>
      <c r="AC143" s="169">
        <v>-132120.29999999999</v>
      </c>
      <c r="AD143" s="170">
        <v>415075</v>
      </c>
    </row>
    <row r="144" spans="3:30">
      <c r="AB144" s="169">
        <v>107154</v>
      </c>
      <c r="AC144" s="169">
        <v>-132120.29999999999</v>
      </c>
      <c r="AD144" s="170">
        <v>188807</v>
      </c>
    </row>
    <row r="145" spans="28:30">
      <c r="AB145" s="169">
        <v>133942.5</v>
      </c>
      <c r="AC145" s="169">
        <v>-132120.29999999999</v>
      </c>
      <c r="AD145" s="170">
        <v>87490</v>
      </c>
    </row>
    <row r="146" spans="28:30">
      <c r="AB146" s="169">
        <v>160731</v>
      </c>
      <c r="AC146" s="169">
        <v>-132120.29999999999</v>
      </c>
      <c r="AD146" s="170">
        <v>55671.8</v>
      </c>
    </row>
    <row r="147" spans="28:30">
      <c r="AB147" s="169">
        <v>187519.5</v>
      </c>
      <c r="AC147" s="169">
        <v>-132120.29999999999</v>
      </c>
      <c r="AD147" s="170">
        <v>22593.4</v>
      </c>
    </row>
    <row r="148" spans="28:30">
      <c r="AB148" s="169">
        <v>214308</v>
      </c>
      <c r="AC148" s="169">
        <v>-132120.29999999999</v>
      </c>
      <c r="AD148" s="170">
        <v>12542.3</v>
      </c>
    </row>
    <row r="149" spans="28:30">
      <c r="AB149" s="169">
        <v>241096.5</v>
      </c>
      <c r="AC149" s="169">
        <v>-132120.29999999999</v>
      </c>
      <c r="AD149" s="170">
        <v>6193.51</v>
      </c>
    </row>
    <row r="150" spans="28:30">
      <c r="AB150" s="169">
        <v>267885</v>
      </c>
      <c r="AC150" s="169">
        <v>-132120.29999999999</v>
      </c>
      <c r="AD150" s="170">
        <v>3626.11</v>
      </c>
    </row>
    <row r="151" spans="28:30">
      <c r="AB151" s="169">
        <v>294673.5</v>
      </c>
      <c r="AC151" s="169">
        <v>-132120.29999999999</v>
      </c>
      <c r="AD151" s="170">
        <v>1463.84</v>
      </c>
    </row>
    <row r="152" spans="28:30">
      <c r="AB152" s="169">
        <v>321462</v>
      </c>
      <c r="AC152" s="169">
        <v>-132120.29999999999</v>
      </c>
      <c r="AD152" s="170">
        <v>749.44</v>
      </c>
    </row>
    <row r="153" spans="28:30">
      <c r="AB153" s="169">
        <v>348250.5</v>
      </c>
      <c r="AC153" s="169">
        <v>-132120.29999999999</v>
      </c>
      <c r="AD153" s="170">
        <v>341.21</v>
      </c>
    </row>
    <row r="154" spans="28:30">
      <c r="AB154" s="169">
        <v>375039</v>
      </c>
      <c r="AC154" s="169">
        <v>-132120.29999999999</v>
      </c>
      <c r="AD154" s="170">
        <v>150.36000000000001</v>
      </c>
    </row>
    <row r="155" spans="28:30">
      <c r="AB155" s="169">
        <v>401827.5</v>
      </c>
      <c r="AC155" s="169">
        <v>-132120.29999999999</v>
      </c>
      <c r="AD155" s="170">
        <v>104.41500000000001</v>
      </c>
    </row>
    <row r="156" spans="28:30">
      <c r="AB156" s="169">
        <v>428616</v>
      </c>
      <c r="AC156" s="169">
        <v>-132120.29999999999</v>
      </c>
      <c r="AD156" s="170">
        <v>47.805</v>
      </c>
    </row>
    <row r="157" spans="28:30">
      <c r="AB157" s="169">
        <v>455404.5</v>
      </c>
      <c r="AC157" s="169">
        <v>-132120.29999999999</v>
      </c>
      <c r="AD157" s="170">
        <v>5.6849999999999996</v>
      </c>
    </row>
    <row r="158" spans="28:30">
      <c r="AB158" s="169">
        <v>482193</v>
      </c>
      <c r="AC158" s="169">
        <v>-132120.29999999999</v>
      </c>
      <c r="AD158" s="170">
        <v>8.92</v>
      </c>
    </row>
    <row r="159" spans="28:30">
      <c r="AB159" s="169">
        <v>508981.5</v>
      </c>
      <c r="AC159" s="169">
        <v>-132120.29999999999</v>
      </c>
      <c r="AD159" s="170">
        <v>3.74</v>
      </c>
    </row>
    <row r="160" spans="28:30">
      <c r="AB160" s="169">
        <v>535770</v>
      </c>
      <c r="AC160" s="169">
        <v>-132120.29999999999</v>
      </c>
      <c r="AD160" s="170">
        <v>1.54</v>
      </c>
    </row>
    <row r="161" spans="28:30">
      <c r="AB161" s="169">
        <v>0.12902715000000001</v>
      </c>
      <c r="AC161" s="169">
        <v>-110805.24</v>
      </c>
      <c r="AD161" s="170">
        <v>25878700</v>
      </c>
    </row>
    <row r="162" spans="28:30">
      <c r="AB162" s="169">
        <v>26788.65</v>
      </c>
      <c r="AC162" s="169">
        <v>-110805.24</v>
      </c>
      <c r="AD162" s="170">
        <v>2084780</v>
      </c>
    </row>
    <row r="163" spans="28:30">
      <c r="AB163" s="169">
        <v>53577.15</v>
      </c>
      <c r="AC163" s="169">
        <v>-110805.24</v>
      </c>
      <c r="AD163" s="170">
        <v>1058320</v>
      </c>
    </row>
    <row r="164" spans="28:30">
      <c r="AB164" s="169">
        <v>80365.5</v>
      </c>
      <c r="AC164" s="169">
        <v>-110805.24</v>
      </c>
      <c r="AD164" s="170">
        <v>576799</v>
      </c>
    </row>
    <row r="165" spans="28:30">
      <c r="AB165" s="169">
        <v>107154</v>
      </c>
      <c r="AC165" s="169">
        <v>-110805.24</v>
      </c>
      <c r="AD165" s="170">
        <v>242564</v>
      </c>
    </row>
    <row r="166" spans="28:30">
      <c r="AB166" s="169">
        <v>133942.5</v>
      </c>
      <c r="AC166" s="169">
        <v>-110805.24</v>
      </c>
      <c r="AD166" s="170">
        <v>97980.7</v>
      </c>
    </row>
    <row r="167" spans="28:30">
      <c r="AB167" s="169">
        <v>160731</v>
      </c>
      <c r="AC167" s="169">
        <v>-110805.24</v>
      </c>
      <c r="AD167" s="170">
        <v>48124.4</v>
      </c>
    </row>
    <row r="168" spans="28:30">
      <c r="AB168" s="169">
        <v>187519.5</v>
      </c>
      <c r="AC168" s="169">
        <v>-110805.24</v>
      </c>
      <c r="AD168" s="170">
        <v>24630.7</v>
      </c>
    </row>
    <row r="169" spans="28:30">
      <c r="AB169" s="169">
        <v>214308</v>
      </c>
      <c r="AC169" s="169">
        <v>-110805.24</v>
      </c>
      <c r="AD169" s="170">
        <v>14495</v>
      </c>
    </row>
    <row r="170" spans="28:30">
      <c r="AB170" s="169">
        <v>241096.5</v>
      </c>
      <c r="AC170" s="169">
        <v>-110805.24</v>
      </c>
      <c r="AD170" s="170">
        <v>7942.22</v>
      </c>
    </row>
    <row r="171" spans="28:30">
      <c r="AB171" s="169">
        <v>267885</v>
      </c>
      <c r="AC171" s="169">
        <v>-110805.24</v>
      </c>
      <c r="AD171" s="170">
        <v>3444.84</v>
      </c>
    </row>
    <row r="172" spans="28:30">
      <c r="AB172" s="169">
        <v>294673.5</v>
      </c>
      <c r="AC172" s="169">
        <v>-110805.24</v>
      </c>
      <c r="AD172" s="170">
        <v>1611.7</v>
      </c>
    </row>
    <row r="173" spans="28:30">
      <c r="AB173" s="169">
        <v>321462</v>
      </c>
      <c r="AC173" s="169">
        <v>-110805.24</v>
      </c>
      <c r="AD173" s="170">
        <v>1086.8599999999999</v>
      </c>
    </row>
    <row r="174" spans="28:30">
      <c r="AB174" s="169">
        <v>348250.5</v>
      </c>
      <c r="AC174" s="169">
        <v>-110805.24</v>
      </c>
      <c r="AD174" s="170">
        <v>640.98500000000001</v>
      </c>
    </row>
    <row r="175" spans="28:30">
      <c r="AB175" s="169">
        <v>375039</v>
      </c>
      <c r="AC175" s="169">
        <v>-110805.24</v>
      </c>
      <c r="AD175" s="170">
        <v>457.59</v>
      </c>
    </row>
    <row r="176" spans="28:30">
      <c r="AB176" s="169">
        <v>401827.5</v>
      </c>
      <c r="AC176" s="169">
        <v>-110805.24</v>
      </c>
      <c r="AD176" s="170">
        <v>137.03</v>
      </c>
    </row>
    <row r="177" spans="28:30">
      <c r="AB177" s="169">
        <v>428616</v>
      </c>
      <c r="AC177" s="169">
        <v>-110805.24</v>
      </c>
      <c r="AD177" s="170">
        <v>54.814999999999998</v>
      </c>
    </row>
    <row r="178" spans="28:30">
      <c r="AB178" s="169">
        <v>455404.5</v>
      </c>
      <c r="AC178" s="169">
        <v>-110805.24</v>
      </c>
      <c r="AD178" s="170">
        <v>180.495</v>
      </c>
    </row>
    <row r="179" spans="28:30">
      <c r="AB179" s="169">
        <v>482193</v>
      </c>
      <c r="AC179" s="169">
        <v>-110805.24</v>
      </c>
      <c r="AD179" s="170">
        <v>14.525</v>
      </c>
    </row>
    <row r="180" spans="28:30">
      <c r="AB180" s="169">
        <v>508981.5</v>
      </c>
      <c r="AC180" s="169">
        <v>-110805.24</v>
      </c>
      <c r="AD180" s="170">
        <v>4.4999999999999998E-2</v>
      </c>
    </row>
    <row r="181" spans="28:30">
      <c r="AB181" s="169">
        <v>535770</v>
      </c>
      <c r="AC181" s="169">
        <v>-110805.24</v>
      </c>
      <c r="AD181" s="170">
        <v>1.355</v>
      </c>
    </row>
    <row r="182" spans="28:30">
      <c r="AB182" s="169">
        <v>562558.5</v>
      </c>
      <c r="AC182" s="169">
        <v>-110805.24</v>
      </c>
      <c r="AD182" s="170">
        <v>86.165000000000006</v>
      </c>
    </row>
    <row r="183" spans="28:30">
      <c r="AB183" s="169">
        <v>642924</v>
      </c>
      <c r="AC183" s="169">
        <v>-110805.24</v>
      </c>
      <c r="AD183" s="170">
        <v>0.1</v>
      </c>
    </row>
    <row r="184" spans="28:30">
      <c r="AB184" s="169">
        <v>0.12902715000000001</v>
      </c>
      <c r="AC184" s="169">
        <v>-89490.57</v>
      </c>
      <c r="AD184" s="170">
        <v>25238100</v>
      </c>
    </row>
    <row r="185" spans="28:30">
      <c r="AB185" s="169">
        <v>26788.65</v>
      </c>
      <c r="AC185" s="169">
        <v>-89490.57</v>
      </c>
      <c r="AD185" s="170">
        <v>2058140</v>
      </c>
    </row>
    <row r="186" spans="28:30">
      <c r="AB186" s="169">
        <v>53577.15</v>
      </c>
      <c r="AC186" s="169">
        <v>-89490.57</v>
      </c>
      <c r="AD186" s="170">
        <v>868550</v>
      </c>
    </row>
    <row r="187" spans="28:30">
      <c r="AB187" s="169">
        <v>80365.5</v>
      </c>
      <c r="AC187" s="169">
        <v>-89490.57</v>
      </c>
      <c r="AD187" s="170">
        <v>579293</v>
      </c>
    </row>
    <row r="188" spans="28:30">
      <c r="AB188" s="169">
        <v>107154</v>
      </c>
      <c r="AC188" s="169">
        <v>-89490.57</v>
      </c>
      <c r="AD188" s="170">
        <v>333925</v>
      </c>
    </row>
    <row r="189" spans="28:30">
      <c r="AB189" s="169">
        <v>133942.5</v>
      </c>
      <c r="AC189" s="169">
        <v>-89490.57</v>
      </c>
      <c r="AD189" s="170">
        <v>123931</v>
      </c>
    </row>
    <row r="190" spans="28:30">
      <c r="AB190" s="169">
        <v>160731</v>
      </c>
      <c r="AC190" s="169">
        <v>-89490.57</v>
      </c>
      <c r="AD190" s="170">
        <v>74884.3</v>
      </c>
    </row>
    <row r="191" spans="28:30">
      <c r="AB191" s="169">
        <v>187519.5</v>
      </c>
      <c r="AC191" s="169">
        <v>-89490.57</v>
      </c>
      <c r="AD191" s="170">
        <v>34345.9</v>
      </c>
    </row>
    <row r="192" spans="28:30">
      <c r="AB192" s="169">
        <v>214308</v>
      </c>
      <c r="AC192" s="169">
        <v>-89490.57</v>
      </c>
      <c r="AD192" s="170">
        <v>14459.2</v>
      </c>
    </row>
    <row r="193" spans="28:30">
      <c r="AB193" s="169">
        <v>241096.5</v>
      </c>
      <c r="AC193" s="169">
        <v>-89490.57</v>
      </c>
      <c r="AD193" s="170">
        <v>7350.07</v>
      </c>
    </row>
    <row r="194" spans="28:30">
      <c r="AB194" s="169">
        <v>267885</v>
      </c>
      <c r="AC194" s="169">
        <v>-89490.57</v>
      </c>
      <c r="AD194" s="170">
        <v>2459.4899999999998</v>
      </c>
    </row>
    <row r="195" spans="28:30">
      <c r="AB195" s="169">
        <v>294673.5</v>
      </c>
      <c r="AC195" s="169">
        <v>-89490.57</v>
      </c>
      <c r="AD195" s="170">
        <v>2334.96</v>
      </c>
    </row>
    <row r="196" spans="28:30">
      <c r="AB196" s="169">
        <v>321462</v>
      </c>
      <c r="AC196" s="169">
        <v>-89490.57</v>
      </c>
      <c r="AD196" s="170">
        <v>743.58500000000004</v>
      </c>
    </row>
    <row r="197" spans="28:30">
      <c r="AB197" s="169">
        <v>348250.5</v>
      </c>
      <c r="AC197" s="169">
        <v>-89490.57</v>
      </c>
      <c r="AD197" s="170">
        <v>548.52</v>
      </c>
    </row>
    <row r="198" spans="28:30">
      <c r="AB198" s="169">
        <v>375039</v>
      </c>
      <c r="AC198" s="169">
        <v>-89490.57</v>
      </c>
      <c r="AD198" s="170">
        <v>545.93499999999995</v>
      </c>
    </row>
    <row r="199" spans="28:30">
      <c r="AB199" s="169">
        <v>401827.5</v>
      </c>
      <c r="AC199" s="169">
        <v>-89490.57</v>
      </c>
      <c r="AD199" s="170">
        <v>324.10500000000002</v>
      </c>
    </row>
    <row r="200" spans="28:30">
      <c r="AB200" s="169">
        <v>428616</v>
      </c>
      <c r="AC200" s="169">
        <v>-89490.57</v>
      </c>
      <c r="AD200" s="170">
        <v>232.51</v>
      </c>
    </row>
    <row r="201" spans="28:30">
      <c r="AB201" s="169">
        <v>455404.5</v>
      </c>
      <c r="AC201" s="169">
        <v>-89490.57</v>
      </c>
      <c r="AD201" s="170">
        <v>270.73</v>
      </c>
    </row>
    <row r="202" spans="28:30">
      <c r="AB202" s="169">
        <v>482193</v>
      </c>
      <c r="AC202" s="169">
        <v>-89490.57</v>
      </c>
      <c r="AD202" s="170">
        <v>3.4449999999999998</v>
      </c>
    </row>
    <row r="203" spans="28:30">
      <c r="AB203" s="169">
        <v>508981.5</v>
      </c>
      <c r="AC203" s="169">
        <v>-89490.57</v>
      </c>
      <c r="AD203" s="170">
        <v>0.86</v>
      </c>
    </row>
    <row r="204" spans="28:30">
      <c r="AB204" s="169">
        <v>535770</v>
      </c>
      <c r="AC204" s="169">
        <v>-89490.57</v>
      </c>
      <c r="AD204" s="170">
        <v>0.81</v>
      </c>
    </row>
    <row r="205" spans="28:30">
      <c r="AB205" s="169">
        <v>562558.5</v>
      </c>
      <c r="AC205" s="169">
        <v>-89490.57</v>
      </c>
      <c r="AD205" s="170">
        <v>1.96</v>
      </c>
    </row>
    <row r="206" spans="28:30">
      <c r="AB206" s="169">
        <v>589347</v>
      </c>
      <c r="AC206" s="169">
        <v>-89490.57</v>
      </c>
      <c r="AD206" s="170">
        <v>7.0000000000000007E-2</v>
      </c>
    </row>
    <row r="207" spans="28:30">
      <c r="AB207" s="169">
        <v>616135.5</v>
      </c>
      <c r="AC207" s="169">
        <v>-89490.57</v>
      </c>
      <c r="AD207" s="170">
        <v>0.25</v>
      </c>
    </row>
    <row r="208" spans="28:30">
      <c r="AB208" s="169">
        <v>642924</v>
      </c>
      <c r="AC208" s="169">
        <v>-89490.57</v>
      </c>
      <c r="AD208" s="170">
        <v>48.95</v>
      </c>
    </row>
    <row r="209" spans="28:30">
      <c r="AB209" s="169">
        <v>669712.5</v>
      </c>
      <c r="AC209" s="169">
        <v>-89490.57</v>
      </c>
      <c r="AD209" s="170">
        <v>0.1</v>
      </c>
    </row>
    <row r="210" spans="28:30">
      <c r="AB210" s="169">
        <v>0.12902715000000001</v>
      </c>
      <c r="AC210" s="169">
        <v>-68175.899999999994</v>
      </c>
      <c r="AD210" s="170">
        <v>23772400</v>
      </c>
    </row>
    <row r="211" spans="28:30">
      <c r="AB211" s="169">
        <v>26788.65</v>
      </c>
      <c r="AC211" s="169">
        <v>-68175.899999999994</v>
      </c>
      <c r="AD211" s="170">
        <v>1970870</v>
      </c>
    </row>
    <row r="212" spans="28:30">
      <c r="AB212" s="169">
        <v>53577.15</v>
      </c>
      <c r="AC212" s="169">
        <v>-68175.899999999994</v>
      </c>
      <c r="AD212" s="170">
        <v>708442</v>
      </c>
    </row>
    <row r="213" spans="28:30">
      <c r="AB213" s="169">
        <v>80365.5</v>
      </c>
      <c r="AC213" s="169">
        <v>-68175.899999999994</v>
      </c>
      <c r="AD213" s="170">
        <v>467554</v>
      </c>
    </row>
    <row r="214" spans="28:30">
      <c r="AB214" s="169">
        <v>107154</v>
      </c>
      <c r="AC214" s="169">
        <v>-68175.899999999994</v>
      </c>
      <c r="AD214" s="170">
        <v>309338</v>
      </c>
    </row>
    <row r="215" spans="28:30">
      <c r="AB215" s="169">
        <v>133942.5</v>
      </c>
      <c r="AC215" s="169">
        <v>-68175.899999999994</v>
      </c>
      <c r="AD215" s="170">
        <v>227809</v>
      </c>
    </row>
    <row r="216" spans="28:30">
      <c r="AB216" s="169">
        <v>160731</v>
      </c>
      <c r="AC216" s="169">
        <v>-68175.899999999994</v>
      </c>
      <c r="AD216" s="170">
        <v>126551</v>
      </c>
    </row>
    <row r="217" spans="28:30">
      <c r="AB217" s="169">
        <v>187519.5</v>
      </c>
      <c r="AC217" s="169">
        <v>-68175.899999999994</v>
      </c>
      <c r="AD217" s="170">
        <v>54220.5</v>
      </c>
    </row>
    <row r="218" spans="28:30">
      <c r="AB218" s="169">
        <v>214308</v>
      </c>
      <c r="AC218" s="169">
        <v>-68175.899999999994</v>
      </c>
      <c r="AD218" s="170">
        <v>30950.5</v>
      </c>
    </row>
    <row r="219" spans="28:30">
      <c r="AB219" s="169">
        <v>241096.5</v>
      </c>
      <c r="AC219" s="169">
        <v>-68175.899999999994</v>
      </c>
      <c r="AD219" s="170">
        <v>15552.7</v>
      </c>
    </row>
    <row r="220" spans="28:30">
      <c r="AB220" s="169">
        <v>267885</v>
      </c>
      <c r="AC220" s="169">
        <v>-68175.899999999994</v>
      </c>
      <c r="AD220" s="170">
        <v>6899.19</v>
      </c>
    </row>
    <row r="221" spans="28:30">
      <c r="AB221" s="169">
        <v>294673.5</v>
      </c>
      <c r="AC221" s="169">
        <v>-68175.899999999994</v>
      </c>
      <c r="AD221" s="170">
        <v>5076.54</v>
      </c>
    </row>
    <row r="222" spans="28:30">
      <c r="AB222" s="169">
        <v>321462</v>
      </c>
      <c r="AC222" s="169">
        <v>-68175.899999999994</v>
      </c>
      <c r="AD222" s="170">
        <v>1194.72</v>
      </c>
    </row>
    <row r="223" spans="28:30">
      <c r="AB223" s="169">
        <v>348250.5</v>
      </c>
      <c r="AC223" s="169">
        <v>-68175.899999999994</v>
      </c>
      <c r="AD223" s="170">
        <v>243.74</v>
      </c>
    </row>
    <row r="224" spans="28:30">
      <c r="AB224" s="169">
        <v>375039</v>
      </c>
      <c r="AC224" s="169">
        <v>-68175.899999999994</v>
      </c>
      <c r="AD224" s="170">
        <v>185.71</v>
      </c>
    </row>
    <row r="225" spans="28:30">
      <c r="AB225" s="169">
        <v>401827.5</v>
      </c>
      <c r="AC225" s="169">
        <v>-68175.899999999994</v>
      </c>
      <c r="AD225" s="170">
        <v>597.01499999999999</v>
      </c>
    </row>
    <row r="226" spans="28:30">
      <c r="AB226" s="169">
        <v>428616</v>
      </c>
      <c r="AC226" s="169">
        <v>-68175.899999999994</v>
      </c>
      <c r="AD226" s="170">
        <v>177.56</v>
      </c>
    </row>
    <row r="227" spans="28:30">
      <c r="AB227" s="169">
        <v>455404.5</v>
      </c>
      <c r="AC227" s="169">
        <v>-68175.899999999994</v>
      </c>
      <c r="AD227" s="170">
        <v>36.630000000000003</v>
      </c>
    </row>
    <row r="228" spans="28:30">
      <c r="AB228" s="169">
        <v>482193</v>
      </c>
      <c r="AC228" s="169">
        <v>-68175.899999999994</v>
      </c>
      <c r="AD228" s="170">
        <v>334.35500000000002</v>
      </c>
    </row>
    <row r="229" spans="28:30">
      <c r="AB229" s="169">
        <v>535770</v>
      </c>
      <c r="AC229" s="169">
        <v>-68175.899999999994</v>
      </c>
      <c r="AD229" s="170">
        <v>3.7149999999999999</v>
      </c>
    </row>
    <row r="230" spans="28:30">
      <c r="AB230" s="169">
        <v>589347</v>
      </c>
      <c r="AC230" s="169">
        <v>-68175.899999999994</v>
      </c>
      <c r="AD230" s="170">
        <v>0.05</v>
      </c>
    </row>
    <row r="231" spans="28:30">
      <c r="AB231" s="169">
        <v>642924</v>
      </c>
      <c r="AC231" s="169">
        <v>-68175.899999999994</v>
      </c>
      <c r="AD231" s="170">
        <v>0.15</v>
      </c>
    </row>
    <row r="232" spans="28:30">
      <c r="AB232" s="169">
        <v>0.12902715000000001</v>
      </c>
      <c r="AC232" s="169">
        <v>-46861.23</v>
      </c>
      <c r="AD232" s="170">
        <v>25505900</v>
      </c>
    </row>
    <row r="233" spans="28:30">
      <c r="AB233" s="169">
        <v>26788.65</v>
      </c>
      <c r="AC233" s="169">
        <v>-46861.23</v>
      </c>
      <c r="AD233" s="170">
        <v>3933560</v>
      </c>
    </row>
    <row r="234" spans="28:30">
      <c r="AB234" s="169">
        <v>53577.15</v>
      </c>
      <c r="AC234" s="169">
        <v>-46861.23</v>
      </c>
      <c r="AD234" s="170">
        <v>1588210</v>
      </c>
    </row>
    <row r="235" spans="28:30">
      <c r="AB235" s="169">
        <v>80365.5</v>
      </c>
      <c r="AC235" s="169">
        <v>-46861.23</v>
      </c>
      <c r="AD235" s="170">
        <v>871552</v>
      </c>
    </row>
    <row r="236" spans="28:30">
      <c r="AB236" s="169">
        <v>107154</v>
      </c>
      <c r="AC236" s="169">
        <v>-46861.23</v>
      </c>
      <c r="AD236" s="170">
        <v>454153</v>
      </c>
    </row>
    <row r="237" spans="28:30">
      <c r="AB237" s="169">
        <v>133942.5</v>
      </c>
      <c r="AC237" s="169">
        <v>-46861.23</v>
      </c>
      <c r="AD237" s="170">
        <v>248695</v>
      </c>
    </row>
    <row r="238" spans="28:30">
      <c r="AB238" s="169">
        <v>160731</v>
      </c>
      <c r="AC238" s="169">
        <v>-46861.23</v>
      </c>
      <c r="AD238" s="170">
        <v>142136</v>
      </c>
    </row>
    <row r="239" spans="28:30">
      <c r="AB239" s="169">
        <v>187519.5</v>
      </c>
      <c r="AC239" s="169">
        <v>-46861.23</v>
      </c>
      <c r="AD239" s="170">
        <v>99986</v>
      </c>
    </row>
    <row r="240" spans="28:30">
      <c r="AB240" s="169">
        <v>214308</v>
      </c>
      <c r="AC240" s="169">
        <v>-46861.23</v>
      </c>
      <c r="AD240" s="170">
        <v>65149.5</v>
      </c>
    </row>
    <row r="241" spans="28:30">
      <c r="AB241" s="169">
        <v>241096.5</v>
      </c>
      <c r="AC241" s="169">
        <v>-46861.23</v>
      </c>
      <c r="AD241" s="170">
        <v>38998.5</v>
      </c>
    </row>
    <row r="242" spans="28:30">
      <c r="AB242" s="169">
        <v>267885</v>
      </c>
      <c r="AC242" s="169">
        <v>-46861.23</v>
      </c>
      <c r="AD242" s="170">
        <v>18332.7</v>
      </c>
    </row>
    <row r="243" spans="28:30">
      <c r="AB243" s="169">
        <v>294673.5</v>
      </c>
      <c r="AC243" s="169">
        <v>-46861.23</v>
      </c>
      <c r="AD243" s="170">
        <v>12639.3</v>
      </c>
    </row>
    <row r="244" spans="28:30">
      <c r="AB244" s="169">
        <v>321462</v>
      </c>
      <c r="AC244" s="169">
        <v>-46861.23</v>
      </c>
      <c r="AD244" s="170">
        <v>3835.53</v>
      </c>
    </row>
    <row r="245" spans="28:30">
      <c r="AB245" s="169">
        <v>348250.5</v>
      </c>
      <c r="AC245" s="169">
        <v>-46861.23</v>
      </c>
      <c r="AD245" s="170">
        <v>1250.8800000000001</v>
      </c>
    </row>
    <row r="246" spans="28:30">
      <c r="AB246" s="169">
        <v>375039</v>
      </c>
      <c r="AC246" s="169">
        <v>-46861.23</v>
      </c>
      <c r="AD246" s="170">
        <v>268.82499999999999</v>
      </c>
    </row>
    <row r="247" spans="28:30">
      <c r="AB247" s="169">
        <v>401827.5</v>
      </c>
      <c r="AC247" s="169">
        <v>-46861.23</v>
      </c>
      <c r="AD247" s="170">
        <v>168.63499999999999</v>
      </c>
    </row>
    <row r="248" spans="28:30">
      <c r="AB248" s="169">
        <v>428616</v>
      </c>
      <c r="AC248" s="169">
        <v>-46861.23</v>
      </c>
      <c r="AD248" s="170">
        <v>688.16499999999996</v>
      </c>
    </row>
    <row r="249" spans="28:30">
      <c r="AB249" s="169">
        <v>455404.5</v>
      </c>
      <c r="AC249" s="169">
        <v>-46861.23</v>
      </c>
      <c r="AD249" s="170">
        <v>389.38499999999999</v>
      </c>
    </row>
    <row r="250" spans="28:30">
      <c r="AB250" s="169">
        <v>482193</v>
      </c>
      <c r="AC250" s="169">
        <v>-46861.23</v>
      </c>
      <c r="AD250" s="170">
        <v>337.46</v>
      </c>
    </row>
    <row r="251" spans="28:30">
      <c r="AB251" s="169">
        <v>508981.5</v>
      </c>
      <c r="AC251" s="169">
        <v>-46861.23</v>
      </c>
      <c r="AD251" s="170">
        <v>17.864999999999998</v>
      </c>
    </row>
    <row r="252" spans="28:30">
      <c r="AB252" s="169">
        <v>535770</v>
      </c>
      <c r="AC252" s="169">
        <v>-46861.23</v>
      </c>
      <c r="AD252" s="170">
        <v>315.31</v>
      </c>
    </row>
    <row r="253" spans="28:30">
      <c r="AB253" s="169">
        <v>562558.5</v>
      </c>
      <c r="AC253" s="169">
        <v>-46861.23</v>
      </c>
      <c r="AD253" s="170">
        <v>9.7449999999999992</v>
      </c>
    </row>
    <row r="254" spans="28:30">
      <c r="AB254" s="169">
        <v>589347</v>
      </c>
      <c r="AC254" s="169">
        <v>-46861.23</v>
      </c>
      <c r="AD254" s="170">
        <v>11.475</v>
      </c>
    </row>
    <row r="255" spans="28:30">
      <c r="AB255" s="169">
        <v>616135.5</v>
      </c>
      <c r="AC255" s="169">
        <v>-46861.23</v>
      </c>
      <c r="AD255" s="170">
        <v>0.33500000000000002</v>
      </c>
    </row>
    <row r="256" spans="28:30">
      <c r="AB256" s="169">
        <v>642924</v>
      </c>
      <c r="AC256" s="169">
        <v>-46861.23</v>
      </c>
      <c r="AD256" s="170">
        <v>1.99</v>
      </c>
    </row>
    <row r="257" spans="28:30">
      <c r="AB257" s="169">
        <v>669712.5</v>
      </c>
      <c r="AC257" s="169">
        <v>-46861.23</v>
      </c>
      <c r="AD257" s="170">
        <v>0.6</v>
      </c>
    </row>
    <row r="258" spans="28:30">
      <c r="AB258" s="169">
        <v>696501</v>
      </c>
      <c r="AC258" s="169">
        <v>-46861.23</v>
      </c>
      <c r="AD258" s="170">
        <v>0.42</v>
      </c>
    </row>
    <row r="259" spans="28:30">
      <c r="AB259" s="169">
        <v>857232</v>
      </c>
      <c r="AC259" s="169">
        <v>-46861.23</v>
      </c>
      <c r="AD259" s="170">
        <v>0.01</v>
      </c>
    </row>
    <row r="260" spans="28:30">
      <c r="AB260" s="169">
        <v>884019</v>
      </c>
      <c r="AC260" s="169">
        <v>-46861.23</v>
      </c>
      <c r="AD260" s="170">
        <v>2.5000000000000001E-2</v>
      </c>
    </row>
    <row r="261" spans="28:30">
      <c r="AB261" s="169">
        <v>910807.5</v>
      </c>
      <c r="AC261" s="169">
        <v>-46861.23</v>
      </c>
      <c r="AD261" s="170">
        <v>0.03</v>
      </c>
    </row>
    <row r="262" spans="28:30">
      <c r="AB262" s="169">
        <v>964384.5</v>
      </c>
      <c r="AC262" s="169">
        <v>-46861.23</v>
      </c>
      <c r="AD262" s="170">
        <v>0.1</v>
      </c>
    </row>
    <row r="263" spans="28:30">
      <c r="AB263" s="169">
        <v>1044750</v>
      </c>
      <c r="AC263" s="169">
        <v>-46861.23</v>
      </c>
      <c r="AD263" s="170">
        <v>0.1</v>
      </c>
    </row>
    <row r="264" spans="28:30">
      <c r="AB264" s="169">
        <v>0.12902715000000001</v>
      </c>
      <c r="AC264" s="169">
        <v>-25546.560000000001</v>
      </c>
      <c r="AD264" s="170">
        <v>30648900</v>
      </c>
    </row>
    <row r="265" spans="28:30">
      <c r="AB265" s="169">
        <v>26788.65</v>
      </c>
      <c r="AC265" s="169">
        <v>-25546.560000000001</v>
      </c>
      <c r="AD265" s="170">
        <v>6945430</v>
      </c>
    </row>
    <row r="266" spans="28:30">
      <c r="AB266" s="169">
        <v>53577.15</v>
      </c>
      <c r="AC266" s="169">
        <v>-25546.560000000001</v>
      </c>
      <c r="AD266" s="170">
        <v>2473180</v>
      </c>
    </row>
    <row r="267" spans="28:30">
      <c r="AB267" s="169">
        <v>80365.5</v>
      </c>
      <c r="AC267" s="169">
        <v>-25546.560000000001</v>
      </c>
      <c r="AD267" s="170">
        <v>995771</v>
      </c>
    </row>
    <row r="268" spans="28:30">
      <c r="AB268" s="169">
        <v>107154</v>
      </c>
      <c r="AC268" s="169">
        <v>-25546.560000000001</v>
      </c>
      <c r="AD268" s="170">
        <v>430868</v>
      </c>
    </row>
    <row r="269" spans="28:30">
      <c r="AB269" s="169">
        <v>133942.5</v>
      </c>
      <c r="AC269" s="169">
        <v>-25546.560000000001</v>
      </c>
      <c r="AD269" s="170">
        <v>213087</v>
      </c>
    </row>
    <row r="270" spans="28:30">
      <c r="AB270" s="169">
        <v>160731</v>
      </c>
      <c r="AC270" s="169">
        <v>-25546.560000000001</v>
      </c>
      <c r="AD270" s="170">
        <v>111008</v>
      </c>
    </row>
    <row r="271" spans="28:30">
      <c r="AB271" s="169">
        <v>187519.5</v>
      </c>
      <c r="AC271" s="169">
        <v>-25546.560000000001</v>
      </c>
      <c r="AD271" s="170">
        <v>51615.6</v>
      </c>
    </row>
    <row r="272" spans="28:30">
      <c r="AB272" s="169">
        <v>214308</v>
      </c>
      <c r="AC272" s="169">
        <v>-25546.560000000001</v>
      </c>
      <c r="AD272" s="170">
        <v>30136.1</v>
      </c>
    </row>
    <row r="273" spans="28:30">
      <c r="AB273" s="169">
        <v>241096.5</v>
      </c>
      <c r="AC273" s="169">
        <v>-25546.560000000001</v>
      </c>
      <c r="AD273" s="170">
        <v>19177</v>
      </c>
    </row>
    <row r="274" spans="28:30">
      <c r="AB274" s="169">
        <v>267885</v>
      </c>
      <c r="AC274" s="169">
        <v>-25546.560000000001</v>
      </c>
      <c r="AD274" s="170">
        <v>12647</v>
      </c>
    </row>
    <row r="275" spans="28:30">
      <c r="AB275" s="169">
        <v>294673.5</v>
      </c>
      <c r="AC275" s="169">
        <v>-25546.560000000001</v>
      </c>
      <c r="AD275" s="170">
        <v>8525.43</v>
      </c>
    </row>
    <row r="276" spans="28:30">
      <c r="AB276" s="169">
        <v>321462</v>
      </c>
      <c r="AC276" s="169">
        <v>-25546.560000000001</v>
      </c>
      <c r="AD276" s="170">
        <v>3554.82</v>
      </c>
    </row>
    <row r="277" spans="28:30">
      <c r="AB277" s="169">
        <v>348250.5</v>
      </c>
      <c r="AC277" s="169">
        <v>-25546.560000000001</v>
      </c>
      <c r="AD277" s="170">
        <v>2881.24</v>
      </c>
    </row>
    <row r="278" spans="28:30">
      <c r="AB278" s="169">
        <v>375039</v>
      </c>
      <c r="AC278" s="169">
        <v>-25546.560000000001</v>
      </c>
      <c r="AD278" s="170">
        <v>2234.9</v>
      </c>
    </row>
    <row r="279" spans="28:30">
      <c r="AB279" s="169">
        <v>401827.5</v>
      </c>
      <c r="AC279" s="169">
        <v>-25546.560000000001</v>
      </c>
      <c r="AD279" s="170">
        <v>1079.32</v>
      </c>
    </row>
    <row r="280" spans="28:30">
      <c r="AB280" s="169">
        <v>428616</v>
      </c>
      <c r="AC280" s="169">
        <v>-25546.560000000001</v>
      </c>
      <c r="AD280" s="170">
        <v>431.935</v>
      </c>
    </row>
    <row r="281" spans="28:30">
      <c r="AB281" s="169">
        <v>455404.5</v>
      </c>
      <c r="AC281" s="169">
        <v>-25546.560000000001</v>
      </c>
      <c r="AD281" s="170">
        <v>381.38</v>
      </c>
    </row>
    <row r="282" spans="28:30">
      <c r="AB282" s="169">
        <v>482193</v>
      </c>
      <c r="AC282" s="169">
        <v>-25546.560000000001</v>
      </c>
      <c r="AD282" s="170">
        <v>316.61500000000001</v>
      </c>
    </row>
    <row r="283" spans="28:30">
      <c r="AB283" s="169">
        <v>508981.5</v>
      </c>
      <c r="AC283" s="169">
        <v>-25546.560000000001</v>
      </c>
      <c r="AD283" s="170">
        <v>506.88</v>
      </c>
    </row>
    <row r="284" spans="28:30">
      <c r="AB284" s="169">
        <v>535770</v>
      </c>
      <c r="AC284" s="169">
        <v>-25546.560000000001</v>
      </c>
      <c r="AD284" s="170">
        <v>135.97</v>
      </c>
    </row>
    <row r="285" spans="28:30">
      <c r="AB285" s="169">
        <v>562558.5</v>
      </c>
      <c r="AC285" s="169">
        <v>-25546.560000000001</v>
      </c>
      <c r="AD285" s="170">
        <v>77.61</v>
      </c>
    </row>
    <row r="286" spans="28:30">
      <c r="AB286" s="169">
        <v>589347</v>
      </c>
      <c r="AC286" s="169">
        <v>-25546.560000000001</v>
      </c>
      <c r="AD286" s="170">
        <v>78.974999999999994</v>
      </c>
    </row>
    <row r="287" spans="28:30">
      <c r="AB287" s="169">
        <v>616135.5</v>
      </c>
      <c r="AC287" s="169">
        <v>-25546.560000000001</v>
      </c>
      <c r="AD287" s="170">
        <v>61.42</v>
      </c>
    </row>
    <row r="288" spans="28:30">
      <c r="AB288" s="169">
        <v>642924</v>
      </c>
      <c r="AC288" s="169">
        <v>-25546.560000000001</v>
      </c>
      <c r="AD288" s="170">
        <v>22.3</v>
      </c>
    </row>
    <row r="289" spans="28:30">
      <c r="AB289" s="169">
        <v>669712.5</v>
      </c>
      <c r="AC289" s="169">
        <v>-25546.560000000001</v>
      </c>
      <c r="AD289" s="170">
        <v>29.864999999999998</v>
      </c>
    </row>
    <row r="290" spans="28:30">
      <c r="AB290" s="169">
        <v>696501</v>
      </c>
      <c r="AC290" s="169">
        <v>-25546.560000000001</v>
      </c>
      <c r="AD290" s="170">
        <v>18.62</v>
      </c>
    </row>
    <row r="291" spans="28:30">
      <c r="AB291" s="169">
        <v>723289.5</v>
      </c>
      <c r="AC291" s="169">
        <v>-25546.560000000001</v>
      </c>
      <c r="AD291" s="170">
        <v>12.55</v>
      </c>
    </row>
    <row r="292" spans="28:30">
      <c r="AB292" s="169">
        <v>750078</v>
      </c>
      <c r="AC292" s="169">
        <v>-25546.560000000001</v>
      </c>
      <c r="AD292" s="170">
        <v>7.66</v>
      </c>
    </row>
    <row r="293" spans="28:30">
      <c r="AB293" s="169">
        <v>776866.5</v>
      </c>
      <c r="AC293" s="169">
        <v>-25546.560000000001</v>
      </c>
      <c r="AD293" s="170">
        <v>9.3949999999999996</v>
      </c>
    </row>
    <row r="294" spans="28:30">
      <c r="AB294" s="169">
        <v>803655</v>
      </c>
      <c r="AC294" s="169">
        <v>-25546.560000000001</v>
      </c>
      <c r="AD294" s="170">
        <v>1.97</v>
      </c>
    </row>
    <row r="295" spans="28:30">
      <c r="AB295" s="169">
        <v>830443.5</v>
      </c>
      <c r="AC295" s="169">
        <v>-25546.560000000001</v>
      </c>
      <c r="AD295" s="170">
        <v>1.9750000000000001</v>
      </c>
    </row>
    <row r="296" spans="28:30">
      <c r="AB296" s="169">
        <v>857232</v>
      </c>
      <c r="AC296" s="169">
        <v>-25546.560000000001</v>
      </c>
      <c r="AD296" s="170">
        <v>1.64</v>
      </c>
    </row>
    <row r="297" spans="28:30">
      <c r="AB297" s="169">
        <v>884019</v>
      </c>
      <c r="AC297" s="169">
        <v>-25546.560000000001</v>
      </c>
      <c r="AD297" s="170">
        <v>2.1549999999999998</v>
      </c>
    </row>
    <row r="298" spans="28:30">
      <c r="AB298" s="169">
        <v>910807.5</v>
      </c>
      <c r="AC298" s="169">
        <v>-25546.560000000001</v>
      </c>
      <c r="AD298" s="170">
        <v>0.32500000000000001</v>
      </c>
    </row>
    <row r="299" spans="28:30">
      <c r="AB299" s="169">
        <v>937596</v>
      </c>
      <c r="AC299" s="169">
        <v>-25546.560000000001</v>
      </c>
      <c r="AD299" s="170">
        <v>0.375</v>
      </c>
    </row>
    <row r="300" spans="28:30">
      <c r="AB300" s="169">
        <v>964384.5</v>
      </c>
      <c r="AC300" s="169">
        <v>-25546.560000000001</v>
      </c>
      <c r="AD300" s="170">
        <v>0.1</v>
      </c>
    </row>
    <row r="301" spans="28:30">
      <c r="AB301" s="169">
        <v>991173</v>
      </c>
      <c r="AC301" s="169">
        <v>-25546.560000000001</v>
      </c>
      <c r="AD301" s="170">
        <v>0.46500000000000002</v>
      </c>
    </row>
    <row r="302" spans="28:30">
      <c r="AB302" s="169">
        <v>1017961.5</v>
      </c>
      <c r="AC302" s="169">
        <v>-25546.560000000001</v>
      </c>
      <c r="AD302" s="170">
        <v>0.13500000000000001</v>
      </c>
    </row>
    <row r="303" spans="28:30">
      <c r="AB303" s="169">
        <v>1044750</v>
      </c>
      <c r="AC303" s="169">
        <v>-25546.560000000001</v>
      </c>
      <c r="AD303" s="170">
        <v>0.27500000000000002</v>
      </c>
    </row>
    <row r="304" spans="28:30">
      <c r="AB304" s="169">
        <v>1071538.5</v>
      </c>
      <c r="AC304" s="169">
        <v>-25546.560000000001</v>
      </c>
      <c r="AD304" s="170">
        <v>0.17499999999999999</v>
      </c>
    </row>
    <row r="305" spans="28:30">
      <c r="AB305" s="169">
        <v>1098327</v>
      </c>
      <c r="AC305" s="169">
        <v>-25546.560000000001</v>
      </c>
      <c r="AD305" s="170">
        <v>0.155</v>
      </c>
    </row>
    <row r="306" spans="28:30">
      <c r="AB306" s="169">
        <v>1125115.5</v>
      </c>
      <c r="AC306" s="169">
        <v>-25546.560000000001</v>
      </c>
      <c r="AD306" s="170">
        <v>5.0000000000000001E-3</v>
      </c>
    </row>
    <row r="307" spans="28:30">
      <c r="AB307" s="169">
        <v>1151904</v>
      </c>
      <c r="AC307" s="169">
        <v>-25546.560000000001</v>
      </c>
      <c r="AD307" s="170">
        <v>0.1</v>
      </c>
    </row>
    <row r="308" spans="28:30">
      <c r="AB308" s="169">
        <v>1178692.5</v>
      </c>
      <c r="AC308" s="169">
        <v>-25546.560000000001</v>
      </c>
      <c r="AD308" s="170">
        <v>7.0000000000000007E-2</v>
      </c>
    </row>
    <row r="309" spans="28:30">
      <c r="AB309" s="169">
        <v>1205481</v>
      </c>
      <c r="AC309" s="169">
        <v>-25546.560000000001</v>
      </c>
      <c r="AD309" s="170">
        <v>0.2</v>
      </c>
    </row>
    <row r="310" spans="28:30">
      <c r="AB310" s="169">
        <v>1232269.5</v>
      </c>
      <c r="AC310" s="169">
        <v>-25546.560000000001</v>
      </c>
      <c r="AD310" s="170">
        <v>0.1</v>
      </c>
    </row>
    <row r="311" spans="28:30">
      <c r="AB311" s="169">
        <v>1259058</v>
      </c>
      <c r="AC311" s="169">
        <v>-25546.560000000001</v>
      </c>
      <c r="AD311" s="170">
        <v>0.1</v>
      </c>
    </row>
    <row r="312" spans="28:30">
      <c r="AB312" s="169">
        <v>1285846.5</v>
      </c>
      <c r="AC312" s="169">
        <v>-25546.560000000001</v>
      </c>
      <c r="AD312" s="170">
        <v>0.125</v>
      </c>
    </row>
    <row r="313" spans="28:30">
      <c r="AB313" s="169">
        <v>0.12902715000000001</v>
      </c>
      <c r="AC313" s="169">
        <v>-4231.942</v>
      </c>
      <c r="AD313" s="170">
        <v>46041800</v>
      </c>
    </row>
    <row r="314" spans="28:30">
      <c r="AB314" s="169">
        <v>26788.65</v>
      </c>
      <c r="AC314" s="169">
        <v>-4231.942</v>
      </c>
      <c r="AD314" s="170">
        <v>6236440</v>
      </c>
    </row>
    <row r="315" spans="28:30">
      <c r="AB315" s="169">
        <v>53577.15</v>
      </c>
      <c r="AC315" s="169">
        <v>-4231.942</v>
      </c>
      <c r="AD315" s="170">
        <v>2302250</v>
      </c>
    </row>
    <row r="316" spans="28:30">
      <c r="AB316" s="169">
        <v>80365.5</v>
      </c>
      <c r="AC316" s="169">
        <v>-4231.942</v>
      </c>
      <c r="AD316" s="170">
        <v>923905</v>
      </c>
    </row>
    <row r="317" spans="28:30">
      <c r="AB317" s="169">
        <v>107154</v>
      </c>
      <c r="AC317" s="169">
        <v>-4231.942</v>
      </c>
      <c r="AD317" s="170">
        <v>366681</v>
      </c>
    </row>
    <row r="318" spans="28:30">
      <c r="AB318" s="169">
        <v>133942.5</v>
      </c>
      <c r="AC318" s="169">
        <v>-4231.942</v>
      </c>
      <c r="AD318" s="170">
        <v>164273</v>
      </c>
    </row>
    <row r="319" spans="28:30">
      <c r="AB319" s="169">
        <v>160731</v>
      </c>
      <c r="AC319" s="169">
        <v>-4231.942</v>
      </c>
      <c r="AD319" s="170">
        <v>71141.5</v>
      </c>
    </row>
    <row r="320" spans="28:30">
      <c r="AB320" s="169">
        <v>187519.5</v>
      </c>
      <c r="AC320" s="169">
        <v>-4231.942</v>
      </c>
      <c r="AD320" s="170">
        <v>31134.1</v>
      </c>
    </row>
    <row r="321" spans="28:30">
      <c r="AB321" s="169">
        <v>214308</v>
      </c>
      <c r="AC321" s="169">
        <v>-4231.942</v>
      </c>
      <c r="AD321" s="170">
        <v>19883.099999999999</v>
      </c>
    </row>
    <row r="322" spans="28:30">
      <c r="AB322" s="169">
        <v>241096.5</v>
      </c>
      <c r="AC322" s="169">
        <v>-4231.942</v>
      </c>
      <c r="AD322" s="170">
        <v>14090.7</v>
      </c>
    </row>
    <row r="323" spans="28:30">
      <c r="AB323" s="169">
        <v>267885</v>
      </c>
      <c r="AC323" s="169">
        <v>-4231.942</v>
      </c>
      <c r="AD323" s="170">
        <v>9431.65</v>
      </c>
    </row>
    <row r="324" spans="28:30">
      <c r="AB324" s="169">
        <v>294673.5</v>
      </c>
      <c r="AC324" s="169">
        <v>-4231.942</v>
      </c>
      <c r="AD324" s="170">
        <v>5891.55</v>
      </c>
    </row>
    <row r="325" spans="28:30">
      <c r="AB325" s="169">
        <v>321462</v>
      </c>
      <c r="AC325" s="169">
        <v>-4231.942</v>
      </c>
      <c r="AD325" s="170">
        <v>4118.96</v>
      </c>
    </row>
    <row r="326" spans="28:30">
      <c r="AB326" s="169">
        <v>348250.5</v>
      </c>
      <c r="AC326" s="169">
        <v>-4231.942</v>
      </c>
      <c r="AD326" s="170">
        <v>2670.47</v>
      </c>
    </row>
    <row r="327" spans="28:30">
      <c r="AB327" s="169">
        <v>375039</v>
      </c>
      <c r="AC327" s="169">
        <v>-4231.942</v>
      </c>
      <c r="AD327" s="170">
        <v>2812.91</v>
      </c>
    </row>
    <row r="328" spans="28:30">
      <c r="AB328" s="169">
        <v>401827.5</v>
      </c>
      <c r="AC328" s="169">
        <v>-4231.942</v>
      </c>
      <c r="AD328" s="170">
        <v>2130.63</v>
      </c>
    </row>
    <row r="329" spans="28:30">
      <c r="AB329" s="169">
        <v>428616</v>
      </c>
      <c r="AC329" s="169">
        <v>-4231.942</v>
      </c>
      <c r="AD329" s="170">
        <v>1035</v>
      </c>
    </row>
    <row r="330" spans="28:30">
      <c r="AB330" s="169">
        <v>455404.5</v>
      </c>
      <c r="AC330" s="169">
        <v>-4231.942</v>
      </c>
      <c r="AD330" s="170">
        <v>854.52499999999998</v>
      </c>
    </row>
    <row r="331" spans="28:30">
      <c r="AB331" s="169">
        <v>482193</v>
      </c>
      <c r="AC331" s="169">
        <v>-4231.942</v>
      </c>
      <c r="AD331" s="170">
        <v>617.42499999999995</v>
      </c>
    </row>
    <row r="332" spans="28:30">
      <c r="AB332" s="169">
        <v>508981.5</v>
      </c>
      <c r="AC332" s="169">
        <v>-4231.942</v>
      </c>
      <c r="AD332" s="170">
        <v>551.81500000000005</v>
      </c>
    </row>
    <row r="333" spans="28:30">
      <c r="AB333" s="169">
        <v>535770</v>
      </c>
      <c r="AC333" s="169">
        <v>-4231.942</v>
      </c>
      <c r="AD333" s="170">
        <v>428.40499999999997</v>
      </c>
    </row>
    <row r="334" spans="28:30">
      <c r="AB334" s="169">
        <v>562558.5</v>
      </c>
      <c r="AC334" s="169">
        <v>-4231.942</v>
      </c>
      <c r="AD334" s="170">
        <v>309.97000000000003</v>
      </c>
    </row>
    <row r="335" spans="28:30">
      <c r="AB335" s="169">
        <v>589347</v>
      </c>
      <c r="AC335" s="169">
        <v>-4231.942</v>
      </c>
      <c r="AD335" s="170">
        <v>180.125</v>
      </c>
    </row>
    <row r="336" spans="28:30">
      <c r="AB336" s="169">
        <v>616135.5</v>
      </c>
      <c r="AC336" s="169">
        <v>-4231.942</v>
      </c>
      <c r="AD336" s="170">
        <v>122.51</v>
      </c>
    </row>
    <row r="337" spans="28:30">
      <c r="AB337" s="169">
        <v>642924</v>
      </c>
      <c r="AC337" s="169">
        <v>-4231.942</v>
      </c>
      <c r="AD337" s="170">
        <v>88.07</v>
      </c>
    </row>
    <row r="338" spans="28:30">
      <c r="AB338" s="169">
        <v>669712.5</v>
      </c>
      <c r="AC338" s="169">
        <v>-4231.942</v>
      </c>
      <c r="AD338" s="170">
        <v>66.010000000000005</v>
      </c>
    </row>
    <row r="339" spans="28:30">
      <c r="AB339" s="169">
        <v>696501</v>
      </c>
      <c r="AC339" s="169">
        <v>-4231.942</v>
      </c>
      <c r="AD339" s="170">
        <v>45.33</v>
      </c>
    </row>
    <row r="340" spans="28:30">
      <c r="AB340" s="169">
        <v>723289.5</v>
      </c>
      <c r="AC340" s="169">
        <v>-4231.942</v>
      </c>
      <c r="AD340" s="170">
        <v>34.340000000000003</v>
      </c>
    </row>
    <row r="341" spans="28:30">
      <c r="AB341" s="169">
        <v>750078</v>
      </c>
      <c r="AC341" s="169">
        <v>-4231.942</v>
      </c>
      <c r="AD341" s="170">
        <v>22.945</v>
      </c>
    </row>
    <row r="342" spans="28:30">
      <c r="AB342" s="169">
        <v>776866.5</v>
      </c>
      <c r="AC342" s="169">
        <v>-4231.942</v>
      </c>
      <c r="AD342" s="170">
        <v>20.51</v>
      </c>
    </row>
    <row r="343" spans="28:30">
      <c r="AB343" s="169">
        <v>803655</v>
      </c>
      <c r="AC343" s="169">
        <v>-4231.942</v>
      </c>
      <c r="AD343" s="170">
        <v>17.7</v>
      </c>
    </row>
    <row r="344" spans="28:30">
      <c r="AB344" s="169">
        <v>830443.5</v>
      </c>
      <c r="AC344" s="169">
        <v>-4231.942</v>
      </c>
      <c r="AD344" s="170">
        <v>8.6199999999999992</v>
      </c>
    </row>
    <row r="345" spans="28:30">
      <c r="AB345" s="169">
        <v>857232</v>
      </c>
      <c r="AC345" s="169">
        <v>-4231.942</v>
      </c>
      <c r="AD345" s="170">
        <v>6.46</v>
      </c>
    </row>
    <row r="346" spans="28:30">
      <c r="AB346" s="169">
        <v>884019</v>
      </c>
      <c r="AC346" s="169">
        <v>-4231.942</v>
      </c>
      <c r="AD346" s="170">
        <v>2.2999999999999998</v>
      </c>
    </row>
    <row r="347" spans="28:30">
      <c r="AB347" s="169">
        <v>910807.5</v>
      </c>
      <c r="AC347" s="169">
        <v>-4231.942</v>
      </c>
      <c r="AD347" s="170">
        <v>1.625</v>
      </c>
    </row>
    <row r="348" spans="28:30">
      <c r="AB348" s="169">
        <v>937596</v>
      </c>
      <c r="AC348" s="169">
        <v>-4231.942</v>
      </c>
      <c r="AD348" s="170">
        <v>4.5199999999999996</v>
      </c>
    </row>
    <row r="349" spans="28:30">
      <c r="AB349" s="169">
        <v>964384.5</v>
      </c>
      <c r="AC349" s="169">
        <v>-4231.942</v>
      </c>
      <c r="AD349" s="170">
        <v>1.9350000000000001</v>
      </c>
    </row>
    <row r="350" spans="28:30">
      <c r="AB350" s="169">
        <v>991173</v>
      </c>
      <c r="AC350" s="169">
        <v>-4231.942</v>
      </c>
      <c r="AD350" s="170">
        <v>0.93</v>
      </c>
    </row>
    <row r="351" spans="28:30">
      <c r="AB351" s="169">
        <v>1017961.5</v>
      </c>
      <c r="AC351" s="169">
        <v>-4231.942</v>
      </c>
      <c r="AD351" s="170">
        <v>0.85499999999999998</v>
      </c>
    </row>
    <row r="352" spans="28:30">
      <c r="AB352" s="169">
        <v>1044750</v>
      </c>
      <c r="AC352" s="169">
        <v>-4231.942</v>
      </c>
      <c r="AD352" s="170">
        <v>0.87</v>
      </c>
    </row>
    <row r="353" spans="28:30">
      <c r="AB353" s="169">
        <v>1071538.5</v>
      </c>
      <c r="AC353" s="169">
        <v>-4231.942</v>
      </c>
      <c r="AD353" s="170">
        <v>0.38500000000000001</v>
      </c>
    </row>
    <row r="354" spans="28:30">
      <c r="AB354" s="169">
        <v>1098327</v>
      </c>
      <c r="AC354" s="169">
        <v>-4231.942</v>
      </c>
      <c r="AD354" s="170">
        <v>0.60499999999999998</v>
      </c>
    </row>
    <row r="355" spans="28:30">
      <c r="AB355" s="169">
        <v>1125115.5</v>
      </c>
      <c r="AC355" s="169">
        <v>-4231.942</v>
      </c>
      <c r="AD355" s="170">
        <v>1.18</v>
      </c>
    </row>
    <row r="356" spans="28:30">
      <c r="AB356" s="169">
        <v>1151904</v>
      </c>
      <c r="AC356" s="169">
        <v>-4231.942</v>
      </c>
      <c r="AD356" s="170">
        <v>0.41499999999999998</v>
      </c>
    </row>
    <row r="357" spans="28:30">
      <c r="AB357" s="169">
        <v>1178692.5</v>
      </c>
      <c r="AC357" s="169">
        <v>-4231.942</v>
      </c>
      <c r="AD357" s="170">
        <v>0.32</v>
      </c>
    </row>
    <row r="358" spans="28:30">
      <c r="AB358" s="169">
        <v>1205481</v>
      </c>
      <c r="AC358" s="169">
        <v>-4231.942</v>
      </c>
      <c r="AD358" s="170">
        <v>0.11</v>
      </c>
    </row>
    <row r="359" spans="28:30">
      <c r="AB359" s="169">
        <v>1232269.5</v>
      </c>
      <c r="AC359" s="169">
        <v>-4231.942</v>
      </c>
      <c r="AD359" s="170">
        <v>0.11</v>
      </c>
    </row>
    <row r="360" spans="28:30">
      <c r="AB360" s="169">
        <v>1259058</v>
      </c>
      <c r="AC360" s="169">
        <v>-4231.942</v>
      </c>
      <c r="AD360" s="170">
        <v>0.22500000000000001</v>
      </c>
    </row>
    <row r="361" spans="28:30">
      <c r="AB361" s="169">
        <v>1285846.5</v>
      </c>
      <c r="AC361" s="169">
        <v>-4231.942</v>
      </c>
      <c r="AD361" s="170">
        <v>0.125</v>
      </c>
    </row>
    <row r="362" spans="28:30">
      <c r="AB362" s="169">
        <v>1312635</v>
      </c>
      <c r="AC362" s="169">
        <v>-4231.942</v>
      </c>
      <c r="AD362" s="170">
        <v>0.1</v>
      </c>
    </row>
    <row r="363" spans="28:30">
      <c r="AB363" s="169">
        <v>1339423.5</v>
      </c>
      <c r="AC363" s="169">
        <v>-4231.942</v>
      </c>
      <c r="AD363" s="170">
        <v>0.05</v>
      </c>
    </row>
    <row r="364" spans="28:30">
      <c r="AB364" s="169">
        <v>0.12902715000000001</v>
      </c>
      <c r="AC364" s="169">
        <v>17082.78</v>
      </c>
      <c r="AD364" s="170">
        <v>44516900</v>
      </c>
    </row>
    <row r="365" spans="28:30">
      <c r="AB365" s="169">
        <v>26788.65</v>
      </c>
      <c r="AC365" s="169">
        <v>17082.78</v>
      </c>
      <c r="AD365" s="170">
        <v>5726790</v>
      </c>
    </row>
    <row r="366" spans="28:30">
      <c r="AB366" s="169">
        <v>53577.15</v>
      </c>
      <c r="AC366" s="169">
        <v>17082.78</v>
      </c>
      <c r="AD366" s="170">
        <v>2292780</v>
      </c>
    </row>
    <row r="367" spans="28:30">
      <c r="AB367" s="169">
        <v>80365.5</v>
      </c>
      <c r="AC367" s="169">
        <v>17082.78</v>
      </c>
      <c r="AD367" s="170">
        <v>1018800</v>
      </c>
    </row>
    <row r="368" spans="28:30">
      <c r="AB368" s="169">
        <v>107154</v>
      </c>
      <c r="AC368" s="169">
        <v>17082.78</v>
      </c>
      <c r="AD368" s="170">
        <v>496361</v>
      </c>
    </row>
    <row r="369" spans="28:30">
      <c r="AB369" s="169">
        <v>133942.5</v>
      </c>
      <c r="AC369" s="169">
        <v>17082.78</v>
      </c>
      <c r="AD369" s="170">
        <v>250378</v>
      </c>
    </row>
    <row r="370" spans="28:30">
      <c r="AB370" s="169">
        <v>160731</v>
      </c>
      <c r="AC370" s="169">
        <v>17082.78</v>
      </c>
      <c r="AD370" s="170">
        <v>129445</v>
      </c>
    </row>
    <row r="371" spans="28:30">
      <c r="AB371" s="169">
        <v>187519.5</v>
      </c>
      <c r="AC371" s="169">
        <v>17082.78</v>
      </c>
      <c r="AD371" s="170">
        <v>91542.1</v>
      </c>
    </row>
    <row r="372" spans="28:30">
      <c r="AB372" s="169">
        <v>214308</v>
      </c>
      <c r="AC372" s="169">
        <v>17082.78</v>
      </c>
      <c r="AD372" s="170">
        <v>62129.5</v>
      </c>
    </row>
    <row r="373" spans="28:30">
      <c r="AB373" s="169">
        <v>241096.5</v>
      </c>
      <c r="AC373" s="169">
        <v>17082.78</v>
      </c>
      <c r="AD373" s="170">
        <v>45865.4</v>
      </c>
    </row>
    <row r="374" spans="28:30">
      <c r="AB374" s="169">
        <v>267885</v>
      </c>
      <c r="AC374" s="169">
        <v>17082.78</v>
      </c>
      <c r="AD374" s="170">
        <v>32068.2</v>
      </c>
    </row>
    <row r="375" spans="28:30">
      <c r="AB375" s="169">
        <v>294673.5</v>
      </c>
      <c r="AC375" s="169">
        <v>17082.78</v>
      </c>
      <c r="AD375" s="170">
        <v>25712.9</v>
      </c>
    </row>
    <row r="376" spans="28:30">
      <c r="AB376" s="169">
        <v>321462</v>
      </c>
      <c r="AC376" s="169">
        <v>17082.78</v>
      </c>
      <c r="AD376" s="170">
        <v>18668.099999999999</v>
      </c>
    </row>
    <row r="377" spans="28:30">
      <c r="AB377" s="169">
        <v>348250.5</v>
      </c>
      <c r="AC377" s="169">
        <v>17082.78</v>
      </c>
      <c r="AD377" s="170">
        <v>12909.7</v>
      </c>
    </row>
    <row r="378" spans="28:30">
      <c r="AB378" s="169">
        <v>375039</v>
      </c>
      <c r="AC378" s="169">
        <v>17082.78</v>
      </c>
      <c r="AD378" s="170">
        <v>9705.42</v>
      </c>
    </row>
    <row r="379" spans="28:30">
      <c r="AB379" s="169">
        <v>401827.5</v>
      </c>
      <c r="AC379" s="169">
        <v>17082.78</v>
      </c>
      <c r="AD379" s="170">
        <v>6275.89</v>
      </c>
    </row>
    <row r="380" spans="28:30">
      <c r="AB380" s="169">
        <v>428616</v>
      </c>
      <c r="AC380" s="169">
        <v>17082.78</v>
      </c>
      <c r="AD380" s="170">
        <v>4191.3100000000004</v>
      </c>
    </row>
    <row r="381" spans="28:30">
      <c r="AB381" s="169">
        <v>455404.5</v>
      </c>
      <c r="AC381" s="169">
        <v>17082.78</v>
      </c>
      <c r="AD381" s="170">
        <v>2963.11</v>
      </c>
    </row>
    <row r="382" spans="28:30">
      <c r="AB382" s="169">
        <v>482193</v>
      </c>
      <c r="AC382" s="169">
        <v>17082.78</v>
      </c>
      <c r="AD382" s="170">
        <v>2125.96</v>
      </c>
    </row>
    <row r="383" spans="28:30">
      <c r="AB383" s="169">
        <v>508981.5</v>
      </c>
      <c r="AC383" s="169">
        <v>17082.78</v>
      </c>
      <c r="AD383" s="170">
        <v>1565.62</v>
      </c>
    </row>
    <row r="384" spans="28:30">
      <c r="AB384" s="169">
        <v>535770</v>
      </c>
      <c r="AC384" s="169">
        <v>17082.78</v>
      </c>
      <c r="AD384" s="170">
        <v>1014.58</v>
      </c>
    </row>
    <row r="385" spans="28:30">
      <c r="AB385" s="169">
        <v>562558.5</v>
      </c>
      <c r="AC385" s="169">
        <v>17082.78</v>
      </c>
      <c r="AD385" s="170">
        <v>670.20500000000004</v>
      </c>
    </row>
    <row r="386" spans="28:30">
      <c r="AB386" s="169">
        <v>589347</v>
      </c>
      <c r="AC386" s="169">
        <v>17082.78</v>
      </c>
      <c r="AD386" s="170">
        <v>495.33</v>
      </c>
    </row>
    <row r="387" spans="28:30">
      <c r="AB387" s="169">
        <v>616135.5</v>
      </c>
      <c r="AC387" s="169">
        <v>17082.78</v>
      </c>
      <c r="AD387" s="170">
        <v>462.04</v>
      </c>
    </row>
    <row r="388" spans="28:30">
      <c r="AB388" s="169">
        <v>642924</v>
      </c>
      <c r="AC388" s="169">
        <v>17082.78</v>
      </c>
      <c r="AD388" s="170">
        <v>238.94499999999999</v>
      </c>
    </row>
    <row r="389" spans="28:30">
      <c r="AB389" s="169">
        <v>669712.5</v>
      </c>
      <c r="AC389" s="169">
        <v>17082.78</v>
      </c>
      <c r="AD389" s="170">
        <v>142.24</v>
      </c>
    </row>
    <row r="390" spans="28:30">
      <c r="AB390" s="169">
        <v>696501</v>
      </c>
      <c r="AC390" s="169">
        <v>17082.78</v>
      </c>
      <c r="AD390" s="170">
        <v>119.8</v>
      </c>
    </row>
    <row r="391" spans="28:30">
      <c r="AB391" s="169">
        <v>723289.5</v>
      </c>
      <c r="AC391" s="169">
        <v>17082.78</v>
      </c>
      <c r="AD391" s="170">
        <v>57.55</v>
      </c>
    </row>
    <row r="392" spans="28:30">
      <c r="AB392" s="169">
        <v>750078</v>
      </c>
      <c r="AC392" s="169">
        <v>17082.78</v>
      </c>
      <c r="AD392" s="170">
        <v>29.215</v>
      </c>
    </row>
    <row r="393" spans="28:30">
      <c r="AB393" s="169">
        <v>776866.5</v>
      </c>
      <c r="AC393" s="169">
        <v>17082.78</v>
      </c>
      <c r="AD393" s="170">
        <v>14.765000000000001</v>
      </c>
    </row>
    <row r="394" spans="28:30">
      <c r="AB394" s="169">
        <v>803655</v>
      </c>
      <c r="AC394" s="169">
        <v>17082.78</v>
      </c>
      <c r="AD394" s="170">
        <v>14.875</v>
      </c>
    </row>
    <row r="395" spans="28:30">
      <c r="AB395" s="169">
        <v>830443.5</v>
      </c>
      <c r="AC395" s="169">
        <v>17082.78</v>
      </c>
      <c r="AD395" s="170">
        <v>7.8949999999999996</v>
      </c>
    </row>
    <row r="396" spans="28:30">
      <c r="AB396" s="169">
        <v>857232</v>
      </c>
      <c r="AC396" s="169">
        <v>17082.78</v>
      </c>
      <c r="AD396" s="170">
        <v>3.6749999999999998</v>
      </c>
    </row>
    <row r="397" spans="28:30">
      <c r="AB397" s="169">
        <v>884019</v>
      </c>
      <c r="AC397" s="169">
        <v>17082.78</v>
      </c>
      <c r="AD397" s="170">
        <v>2.835</v>
      </c>
    </row>
    <row r="398" spans="28:30">
      <c r="AB398" s="169">
        <v>910807.5</v>
      </c>
      <c r="AC398" s="169">
        <v>17082.78</v>
      </c>
      <c r="AD398" s="170">
        <v>2.3450000000000002</v>
      </c>
    </row>
    <row r="399" spans="28:30">
      <c r="AB399" s="169">
        <v>937596</v>
      </c>
      <c r="AC399" s="169">
        <v>17082.78</v>
      </c>
      <c r="AD399" s="170">
        <v>1.655</v>
      </c>
    </row>
    <row r="400" spans="28:30">
      <c r="AB400" s="169">
        <v>964384.5</v>
      </c>
      <c r="AC400" s="169">
        <v>17082.78</v>
      </c>
      <c r="AD400" s="170">
        <v>0.23</v>
      </c>
    </row>
    <row r="401" spans="28:30">
      <c r="AB401" s="169">
        <v>991173</v>
      </c>
      <c r="AC401" s="169">
        <v>17082.78</v>
      </c>
      <c r="AD401" s="170">
        <v>1.4999999999999999E-2</v>
      </c>
    </row>
    <row r="402" spans="28:30">
      <c r="AB402" s="169">
        <v>1017961.5</v>
      </c>
      <c r="AC402" s="169">
        <v>17082.78</v>
      </c>
      <c r="AD402" s="170">
        <v>0.24</v>
      </c>
    </row>
    <row r="403" spans="28:30">
      <c r="AB403" s="169">
        <v>1044750</v>
      </c>
      <c r="AC403" s="169">
        <v>17082.78</v>
      </c>
      <c r="AD403" s="170">
        <v>0.03</v>
      </c>
    </row>
    <row r="404" spans="28:30">
      <c r="AB404" s="169">
        <v>1071538.5</v>
      </c>
      <c r="AC404" s="169">
        <v>17082.78</v>
      </c>
      <c r="AD404" s="170">
        <v>0.15</v>
      </c>
    </row>
    <row r="405" spans="28:30">
      <c r="AB405" s="169">
        <v>1098327</v>
      </c>
      <c r="AC405" s="169">
        <v>17082.78</v>
      </c>
      <c r="AD405" s="170">
        <v>1.4999999999999999E-2</v>
      </c>
    </row>
    <row r="406" spans="28:30">
      <c r="AB406" s="169">
        <v>1125115.5</v>
      </c>
      <c r="AC406" s="169">
        <v>17082.78</v>
      </c>
      <c r="AD406" s="170">
        <v>0.02</v>
      </c>
    </row>
    <row r="407" spans="28:30">
      <c r="AB407" s="169">
        <v>1178692.5</v>
      </c>
      <c r="AC407" s="169">
        <v>17082.78</v>
      </c>
      <c r="AD407" s="170">
        <v>0.1</v>
      </c>
    </row>
    <row r="408" spans="28:30">
      <c r="AB408" s="169">
        <v>1205481</v>
      </c>
      <c r="AC408" s="169">
        <v>17082.78</v>
      </c>
      <c r="AD408" s="170">
        <v>0.01</v>
      </c>
    </row>
    <row r="409" spans="28:30">
      <c r="AB409" s="169">
        <v>1232269.5</v>
      </c>
      <c r="AC409" s="169">
        <v>17082.78</v>
      </c>
      <c r="AD409" s="170">
        <v>4.4999999999999998E-2</v>
      </c>
    </row>
    <row r="410" spans="28:30">
      <c r="AB410" s="169">
        <v>0.12902715000000001</v>
      </c>
      <c r="AC410" s="169">
        <v>38397.449999999997</v>
      </c>
      <c r="AD410" s="170">
        <v>36636100</v>
      </c>
    </row>
    <row r="411" spans="28:30">
      <c r="AB411" s="169">
        <v>26788.65</v>
      </c>
      <c r="AC411" s="169">
        <v>38397.449999999997</v>
      </c>
      <c r="AD411" s="170">
        <v>4508940</v>
      </c>
    </row>
    <row r="412" spans="28:30">
      <c r="AB412" s="169">
        <v>53577.15</v>
      </c>
      <c r="AC412" s="169">
        <v>38397.449999999997</v>
      </c>
      <c r="AD412" s="170">
        <v>2094400</v>
      </c>
    </row>
    <row r="413" spans="28:30">
      <c r="AB413" s="169">
        <v>80365.5</v>
      </c>
      <c r="AC413" s="169">
        <v>38397.449999999997</v>
      </c>
      <c r="AD413" s="170">
        <v>1003540</v>
      </c>
    </row>
    <row r="414" spans="28:30">
      <c r="AB414" s="169">
        <v>107154</v>
      </c>
      <c r="AC414" s="169">
        <v>38397.449999999997</v>
      </c>
      <c r="AD414" s="170">
        <v>486244</v>
      </c>
    </row>
    <row r="415" spans="28:30">
      <c r="AB415" s="169">
        <v>133942.5</v>
      </c>
      <c r="AC415" s="169">
        <v>38397.449999999997</v>
      </c>
      <c r="AD415" s="170">
        <v>236461</v>
      </c>
    </row>
    <row r="416" spans="28:30">
      <c r="AB416" s="169">
        <v>160731</v>
      </c>
      <c r="AC416" s="169">
        <v>38397.449999999997</v>
      </c>
      <c r="AD416" s="170">
        <v>142252</v>
      </c>
    </row>
    <row r="417" spans="28:30">
      <c r="AB417" s="169">
        <v>187519.5</v>
      </c>
      <c r="AC417" s="169">
        <v>38397.449999999997</v>
      </c>
      <c r="AD417" s="170">
        <v>84407.9</v>
      </c>
    </row>
    <row r="418" spans="28:30">
      <c r="AB418" s="169">
        <v>214308</v>
      </c>
      <c r="AC418" s="169">
        <v>38397.449999999997</v>
      </c>
      <c r="AD418" s="170">
        <v>56315.1</v>
      </c>
    </row>
    <row r="419" spans="28:30">
      <c r="AB419" s="169">
        <v>241096.5</v>
      </c>
      <c r="AC419" s="169">
        <v>38397.449999999997</v>
      </c>
      <c r="AD419" s="170">
        <v>43162.7</v>
      </c>
    </row>
    <row r="420" spans="28:30">
      <c r="AB420" s="169">
        <v>267885</v>
      </c>
      <c r="AC420" s="169">
        <v>38397.449999999997</v>
      </c>
      <c r="AD420" s="170">
        <v>30297.5</v>
      </c>
    </row>
    <row r="421" spans="28:30">
      <c r="AB421" s="169">
        <v>294673.5</v>
      </c>
      <c r="AC421" s="169">
        <v>38397.449999999997</v>
      </c>
      <c r="AD421" s="170">
        <v>20940.3</v>
      </c>
    </row>
    <row r="422" spans="28:30">
      <c r="AB422" s="169">
        <v>321462</v>
      </c>
      <c r="AC422" s="169">
        <v>38397.449999999997</v>
      </c>
      <c r="AD422" s="170">
        <v>13389.9</v>
      </c>
    </row>
    <row r="423" spans="28:30">
      <c r="AB423" s="169">
        <v>348250.5</v>
      </c>
      <c r="AC423" s="169">
        <v>38397.449999999997</v>
      </c>
      <c r="AD423" s="170">
        <v>10734.9</v>
      </c>
    </row>
    <row r="424" spans="28:30">
      <c r="AB424" s="169">
        <v>375039</v>
      </c>
      <c r="AC424" s="169">
        <v>38397.449999999997</v>
      </c>
      <c r="AD424" s="170">
        <v>7284.33</v>
      </c>
    </row>
    <row r="425" spans="28:30">
      <c r="AB425" s="169">
        <v>401827.5</v>
      </c>
      <c r="AC425" s="169">
        <v>38397.449999999997</v>
      </c>
      <c r="AD425" s="170">
        <v>5054.97</v>
      </c>
    </row>
    <row r="426" spans="28:30">
      <c r="AB426" s="169">
        <v>428616</v>
      </c>
      <c r="AC426" s="169">
        <v>38397.449999999997</v>
      </c>
      <c r="AD426" s="170">
        <v>3459.55</v>
      </c>
    </row>
    <row r="427" spans="28:30">
      <c r="AB427" s="169">
        <v>455404.5</v>
      </c>
      <c r="AC427" s="169">
        <v>38397.449999999997</v>
      </c>
      <c r="AD427" s="170">
        <v>2019.3</v>
      </c>
    </row>
    <row r="428" spans="28:30">
      <c r="AB428" s="169">
        <v>482193</v>
      </c>
      <c r="AC428" s="169">
        <v>38397.449999999997</v>
      </c>
      <c r="AD428" s="170">
        <v>1398.4</v>
      </c>
    </row>
    <row r="429" spans="28:30">
      <c r="AB429" s="169">
        <v>508981.5</v>
      </c>
      <c r="AC429" s="169">
        <v>38397.449999999997</v>
      </c>
      <c r="AD429" s="170">
        <v>1015.01</v>
      </c>
    </row>
    <row r="430" spans="28:30">
      <c r="AB430" s="169">
        <v>535770</v>
      </c>
      <c r="AC430" s="169">
        <v>38397.449999999997</v>
      </c>
      <c r="AD430" s="170">
        <v>1109.6600000000001</v>
      </c>
    </row>
    <row r="431" spans="28:30">
      <c r="AB431" s="169">
        <v>562558.5</v>
      </c>
      <c r="AC431" s="169">
        <v>38397.449999999997</v>
      </c>
      <c r="AD431" s="170">
        <v>598.67499999999995</v>
      </c>
    </row>
    <row r="432" spans="28:30">
      <c r="AB432" s="169">
        <v>589347</v>
      </c>
      <c r="AC432" s="169">
        <v>38397.449999999997</v>
      </c>
      <c r="AD432" s="170">
        <v>449.60500000000002</v>
      </c>
    </row>
    <row r="433" spans="28:30">
      <c r="AB433" s="169">
        <v>616135.5</v>
      </c>
      <c r="AC433" s="169">
        <v>38397.449999999997</v>
      </c>
      <c r="AD433" s="170">
        <v>229.94</v>
      </c>
    </row>
    <row r="434" spans="28:30">
      <c r="AB434" s="169">
        <v>642924</v>
      </c>
      <c r="AC434" s="169">
        <v>38397.449999999997</v>
      </c>
      <c r="AD434" s="170">
        <v>112.68</v>
      </c>
    </row>
    <row r="435" spans="28:30">
      <c r="AB435" s="169">
        <v>669712.5</v>
      </c>
      <c r="AC435" s="169">
        <v>38397.449999999997</v>
      </c>
      <c r="AD435" s="170">
        <v>139.25</v>
      </c>
    </row>
    <row r="436" spans="28:30">
      <c r="AB436" s="169">
        <v>696501</v>
      </c>
      <c r="AC436" s="169">
        <v>38397.449999999997</v>
      </c>
      <c r="AD436" s="170">
        <v>63.204999999999998</v>
      </c>
    </row>
    <row r="437" spans="28:30">
      <c r="AB437" s="169">
        <v>723289.5</v>
      </c>
      <c r="AC437" s="169">
        <v>38397.449999999997</v>
      </c>
      <c r="AD437" s="170">
        <v>26.105</v>
      </c>
    </row>
    <row r="438" spans="28:30">
      <c r="AB438" s="169">
        <v>750078</v>
      </c>
      <c r="AC438" s="169">
        <v>38397.449999999997</v>
      </c>
      <c r="AD438" s="170">
        <v>11.715</v>
      </c>
    </row>
    <row r="439" spans="28:30">
      <c r="AB439" s="169">
        <v>776866.5</v>
      </c>
      <c r="AC439" s="169">
        <v>38397.449999999997</v>
      </c>
      <c r="AD439" s="170">
        <v>8.0050000000000008</v>
      </c>
    </row>
    <row r="440" spans="28:30">
      <c r="AB440" s="169">
        <v>803655</v>
      </c>
      <c r="AC440" s="169">
        <v>38397.449999999997</v>
      </c>
      <c r="AD440" s="170">
        <v>3.49</v>
      </c>
    </row>
    <row r="441" spans="28:30">
      <c r="AB441" s="169">
        <v>830443.5</v>
      </c>
      <c r="AC441" s="169">
        <v>38397.449999999997</v>
      </c>
      <c r="AD441" s="170">
        <v>0.74</v>
      </c>
    </row>
    <row r="442" spans="28:30">
      <c r="AB442" s="169">
        <v>884019</v>
      </c>
      <c r="AC442" s="169">
        <v>38397.449999999997</v>
      </c>
      <c r="AD442" s="170">
        <v>0.02</v>
      </c>
    </row>
    <row r="443" spans="28:30">
      <c r="AB443" s="169">
        <v>910807.5</v>
      </c>
      <c r="AC443" s="169">
        <v>38397.449999999997</v>
      </c>
      <c r="AD443" s="170">
        <v>5.5E-2</v>
      </c>
    </row>
    <row r="444" spans="28:30">
      <c r="AB444" s="169">
        <v>937596</v>
      </c>
      <c r="AC444" s="169">
        <v>38397.449999999997</v>
      </c>
      <c r="AD444" s="170">
        <v>1.03</v>
      </c>
    </row>
    <row r="445" spans="28:30">
      <c r="AB445" s="169">
        <v>1044750</v>
      </c>
      <c r="AC445" s="169">
        <v>38397.449999999997</v>
      </c>
      <c r="AD445" s="170">
        <v>5.0000000000000001E-3</v>
      </c>
    </row>
    <row r="446" spans="28:30">
      <c r="AB446" s="169">
        <v>0.12902715000000001</v>
      </c>
      <c r="AC446" s="169">
        <v>59712.12</v>
      </c>
      <c r="AD446" s="170">
        <v>32978500</v>
      </c>
    </row>
    <row r="447" spans="28:30">
      <c r="AB447" s="169">
        <v>26788.65</v>
      </c>
      <c r="AC447" s="169">
        <v>59712.12</v>
      </c>
      <c r="AD447" s="170">
        <v>2604650</v>
      </c>
    </row>
    <row r="448" spans="28:30">
      <c r="AB448" s="169">
        <v>53577.15</v>
      </c>
      <c r="AC448" s="169">
        <v>59712.12</v>
      </c>
      <c r="AD448" s="170">
        <v>901599</v>
      </c>
    </row>
    <row r="449" spans="28:30">
      <c r="AB449" s="169">
        <v>80365.5</v>
      </c>
      <c r="AC449" s="169">
        <v>59712.12</v>
      </c>
      <c r="AD449" s="170">
        <v>427317</v>
      </c>
    </row>
    <row r="450" spans="28:30">
      <c r="AB450" s="169">
        <v>107154</v>
      </c>
      <c r="AC450" s="169">
        <v>59712.12</v>
      </c>
      <c r="AD450" s="170">
        <v>168079</v>
      </c>
    </row>
    <row r="451" spans="28:30">
      <c r="AB451" s="169">
        <v>133942.5</v>
      </c>
      <c r="AC451" s="169">
        <v>59712.12</v>
      </c>
      <c r="AD451" s="170">
        <v>71253.399999999994</v>
      </c>
    </row>
    <row r="452" spans="28:30">
      <c r="AB452" s="169">
        <v>160731</v>
      </c>
      <c r="AC452" s="169">
        <v>59712.12</v>
      </c>
      <c r="AD452" s="170">
        <v>30715</v>
      </c>
    </row>
    <row r="453" spans="28:30">
      <c r="AB453" s="169">
        <v>187519.5</v>
      </c>
      <c r="AC453" s="169">
        <v>59712.12</v>
      </c>
      <c r="AD453" s="170">
        <v>14567.1</v>
      </c>
    </row>
    <row r="454" spans="28:30">
      <c r="AB454" s="169">
        <v>214308</v>
      </c>
      <c r="AC454" s="169">
        <v>59712.12</v>
      </c>
      <c r="AD454" s="170">
        <v>8533.7999999999993</v>
      </c>
    </row>
    <row r="455" spans="28:30">
      <c r="AB455" s="169">
        <v>241096.5</v>
      </c>
      <c r="AC455" s="169">
        <v>59712.12</v>
      </c>
      <c r="AD455" s="170">
        <v>5169.97</v>
      </c>
    </row>
    <row r="456" spans="28:30">
      <c r="AB456" s="169">
        <v>267885</v>
      </c>
      <c r="AC456" s="169">
        <v>59712.12</v>
      </c>
      <c r="AD456" s="170">
        <v>2294.2399999999998</v>
      </c>
    </row>
    <row r="457" spans="28:30">
      <c r="AB457" s="169">
        <v>294673.5</v>
      </c>
      <c r="AC457" s="169">
        <v>59712.12</v>
      </c>
      <c r="AD457" s="170">
        <v>1667.95</v>
      </c>
    </row>
    <row r="458" spans="28:30">
      <c r="AB458" s="169">
        <v>321462</v>
      </c>
      <c r="AC458" s="169">
        <v>59712.12</v>
      </c>
      <c r="AD458" s="170">
        <v>1821.88</v>
      </c>
    </row>
    <row r="459" spans="28:30">
      <c r="AB459" s="169">
        <v>348250.5</v>
      </c>
      <c r="AC459" s="169">
        <v>59712.12</v>
      </c>
      <c r="AD459" s="170">
        <v>614.56500000000005</v>
      </c>
    </row>
    <row r="460" spans="28:30">
      <c r="AB460" s="169">
        <v>375039</v>
      </c>
      <c r="AC460" s="169">
        <v>59712.12</v>
      </c>
      <c r="AD460" s="170">
        <v>1588.56</v>
      </c>
    </row>
    <row r="461" spans="28:30">
      <c r="AB461" s="169">
        <v>401827.5</v>
      </c>
      <c r="AC461" s="169">
        <v>59712.12</v>
      </c>
      <c r="AD461" s="170">
        <v>1561.29</v>
      </c>
    </row>
    <row r="462" spans="28:30">
      <c r="AB462" s="169">
        <v>428616</v>
      </c>
      <c r="AC462" s="169">
        <v>59712.12</v>
      </c>
      <c r="AD462" s="170">
        <v>391.30500000000001</v>
      </c>
    </row>
    <row r="463" spans="28:30">
      <c r="AB463" s="169">
        <v>455404.5</v>
      </c>
      <c r="AC463" s="169">
        <v>59712.12</v>
      </c>
      <c r="AD463" s="170">
        <v>1503.52</v>
      </c>
    </row>
    <row r="464" spans="28:30">
      <c r="AB464" s="169">
        <v>482193</v>
      </c>
      <c r="AC464" s="169">
        <v>59712.12</v>
      </c>
      <c r="AD464" s="170">
        <v>1333.66</v>
      </c>
    </row>
    <row r="465" spans="28:30">
      <c r="AB465" s="169">
        <v>508981.5</v>
      </c>
      <c r="AC465" s="169">
        <v>59712.12</v>
      </c>
      <c r="AD465" s="170">
        <v>33.36</v>
      </c>
    </row>
    <row r="466" spans="28:30">
      <c r="AB466" s="169">
        <v>535770</v>
      </c>
      <c r="AC466" s="169">
        <v>59712.12</v>
      </c>
      <c r="AD466" s="170">
        <v>10.225</v>
      </c>
    </row>
    <row r="467" spans="28:30">
      <c r="AB467" s="169">
        <v>562558.5</v>
      </c>
      <c r="AC467" s="169">
        <v>59712.12</v>
      </c>
      <c r="AD467" s="170">
        <v>7.92</v>
      </c>
    </row>
    <row r="468" spans="28:30">
      <c r="AB468" s="169">
        <v>589347</v>
      </c>
      <c r="AC468" s="169">
        <v>59712.12</v>
      </c>
      <c r="AD468" s="170">
        <v>28.79</v>
      </c>
    </row>
    <row r="469" spans="28:30">
      <c r="AB469" s="169">
        <v>616135.5</v>
      </c>
      <c r="AC469" s="169">
        <v>59712.12</v>
      </c>
      <c r="AD469" s="170">
        <v>5.9550000000000001</v>
      </c>
    </row>
    <row r="470" spans="28:30">
      <c r="AB470" s="169">
        <v>642924</v>
      </c>
      <c r="AC470" s="169">
        <v>59712.12</v>
      </c>
      <c r="AD470" s="170">
        <v>5.125</v>
      </c>
    </row>
    <row r="471" spans="28:30">
      <c r="AB471" s="169">
        <v>669712.5</v>
      </c>
      <c r="AC471" s="169">
        <v>59712.12</v>
      </c>
      <c r="AD471" s="170">
        <v>8.7550000000000008</v>
      </c>
    </row>
    <row r="472" spans="28:30">
      <c r="AB472" s="169">
        <v>696501</v>
      </c>
      <c r="AC472" s="169">
        <v>59712.12</v>
      </c>
      <c r="AD472" s="170">
        <v>0.27</v>
      </c>
    </row>
    <row r="473" spans="28:30">
      <c r="AB473" s="169">
        <v>723289.5</v>
      </c>
      <c r="AC473" s="169">
        <v>59712.12</v>
      </c>
      <c r="AD473" s="170">
        <v>5.6550000000000002</v>
      </c>
    </row>
    <row r="474" spans="28:30">
      <c r="AB474" s="169">
        <v>750078</v>
      </c>
      <c r="AC474" s="169">
        <v>59712.12</v>
      </c>
      <c r="AD474" s="170">
        <v>12.824999999999999</v>
      </c>
    </row>
    <row r="475" spans="28:30">
      <c r="AB475" s="169">
        <v>803655</v>
      </c>
      <c r="AC475" s="169">
        <v>59712.12</v>
      </c>
      <c r="AD475" s="170">
        <v>2.5000000000000001E-2</v>
      </c>
    </row>
    <row r="476" spans="28:30">
      <c r="AB476" s="169">
        <v>0.12902715000000001</v>
      </c>
      <c r="AC476" s="169">
        <v>81026.789999999994</v>
      </c>
      <c r="AD476" s="170">
        <v>35226900</v>
      </c>
    </row>
    <row r="477" spans="28:30">
      <c r="AB477" s="169">
        <v>26788.65</v>
      </c>
      <c r="AC477" s="169">
        <v>81026.789999999994</v>
      </c>
      <c r="AD477" s="170">
        <v>2404700</v>
      </c>
    </row>
    <row r="478" spans="28:30">
      <c r="AB478" s="169">
        <v>53577.15</v>
      </c>
      <c r="AC478" s="169">
        <v>81026.789999999994</v>
      </c>
      <c r="AD478" s="170">
        <v>576632</v>
      </c>
    </row>
    <row r="479" spans="28:30">
      <c r="AB479" s="169">
        <v>80365.5</v>
      </c>
      <c r="AC479" s="169">
        <v>81026.789999999994</v>
      </c>
      <c r="AD479" s="170">
        <v>258917</v>
      </c>
    </row>
    <row r="480" spans="28:30">
      <c r="AB480" s="169">
        <v>107154</v>
      </c>
      <c r="AC480" s="169">
        <v>81026.789999999994</v>
      </c>
      <c r="AD480" s="170">
        <v>99099.3</v>
      </c>
    </row>
    <row r="481" spans="28:30">
      <c r="AB481" s="169">
        <v>133942.5</v>
      </c>
      <c r="AC481" s="169">
        <v>81026.789999999994</v>
      </c>
      <c r="AD481" s="170">
        <v>32145.4</v>
      </c>
    </row>
    <row r="482" spans="28:30">
      <c r="AB482" s="169">
        <v>160731</v>
      </c>
      <c r="AC482" s="169">
        <v>81026.789999999994</v>
      </c>
      <c r="AD482" s="170">
        <v>10338.700000000001</v>
      </c>
    </row>
    <row r="483" spans="28:30">
      <c r="AB483" s="169">
        <v>187519.5</v>
      </c>
      <c r="AC483" s="169">
        <v>81026.789999999994</v>
      </c>
      <c r="AD483" s="170">
        <v>5890.96</v>
      </c>
    </row>
    <row r="484" spans="28:30">
      <c r="AB484" s="169">
        <v>214308</v>
      </c>
      <c r="AC484" s="169">
        <v>81026.789999999994</v>
      </c>
      <c r="AD484" s="170">
        <v>3662.42</v>
      </c>
    </row>
    <row r="485" spans="28:30">
      <c r="AB485" s="169">
        <v>241096.5</v>
      </c>
      <c r="AC485" s="169">
        <v>81026.789999999994</v>
      </c>
      <c r="AD485" s="170">
        <v>3510.58</v>
      </c>
    </row>
    <row r="486" spans="28:30">
      <c r="AB486" s="169">
        <v>267885</v>
      </c>
      <c r="AC486" s="169">
        <v>81026.789999999994</v>
      </c>
      <c r="AD486" s="170">
        <v>1379.39</v>
      </c>
    </row>
    <row r="487" spans="28:30">
      <c r="AB487" s="169">
        <v>294673.5</v>
      </c>
      <c r="AC487" s="169">
        <v>81026.789999999994</v>
      </c>
      <c r="AD487" s="170">
        <v>1096.47</v>
      </c>
    </row>
    <row r="488" spans="28:30">
      <c r="AB488" s="169">
        <v>321462</v>
      </c>
      <c r="AC488" s="169">
        <v>81026.789999999994</v>
      </c>
      <c r="AD488" s="170">
        <v>1349.72</v>
      </c>
    </row>
    <row r="489" spans="28:30">
      <c r="AB489" s="169">
        <v>348250.5</v>
      </c>
      <c r="AC489" s="169">
        <v>81026.789999999994</v>
      </c>
      <c r="AD489" s="170">
        <v>507.64499999999998</v>
      </c>
    </row>
    <row r="490" spans="28:30">
      <c r="AB490" s="169">
        <v>375039</v>
      </c>
      <c r="AC490" s="169">
        <v>81026.789999999994</v>
      </c>
      <c r="AD490" s="170">
        <v>1004.15</v>
      </c>
    </row>
    <row r="491" spans="28:30">
      <c r="AB491" s="169">
        <v>401827.5</v>
      </c>
      <c r="AC491" s="169">
        <v>81026.789999999994</v>
      </c>
      <c r="AD491" s="170">
        <v>132.82</v>
      </c>
    </row>
    <row r="492" spans="28:30">
      <c r="AB492" s="169">
        <v>428616</v>
      </c>
      <c r="AC492" s="169">
        <v>81026.789999999994</v>
      </c>
      <c r="AD492" s="170">
        <v>80.635000000000005</v>
      </c>
    </row>
    <row r="493" spans="28:30">
      <c r="AB493" s="169">
        <v>455404.5</v>
      </c>
      <c r="AC493" s="169">
        <v>81026.789999999994</v>
      </c>
      <c r="AD493" s="170">
        <v>115.42</v>
      </c>
    </row>
    <row r="494" spans="28:30">
      <c r="AB494" s="169">
        <v>482193</v>
      </c>
      <c r="AC494" s="169">
        <v>81026.789999999994</v>
      </c>
      <c r="AD494" s="170">
        <v>21.414999999999999</v>
      </c>
    </row>
    <row r="495" spans="28:30">
      <c r="AB495" s="169">
        <v>508981.5</v>
      </c>
      <c r="AC495" s="169">
        <v>81026.789999999994</v>
      </c>
      <c r="AD495" s="170">
        <v>28.225000000000001</v>
      </c>
    </row>
    <row r="496" spans="28:30">
      <c r="AB496" s="169">
        <v>535770</v>
      </c>
      <c r="AC496" s="169">
        <v>81026.789999999994</v>
      </c>
      <c r="AD496" s="170">
        <v>86.254999999999995</v>
      </c>
    </row>
    <row r="497" spans="28:30">
      <c r="AB497" s="169">
        <v>562558.5</v>
      </c>
      <c r="AC497" s="169">
        <v>81026.789999999994</v>
      </c>
      <c r="AD497" s="170">
        <v>2.9249999999999998</v>
      </c>
    </row>
    <row r="498" spans="28:30">
      <c r="AB498" s="169">
        <v>589347</v>
      </c>
      <c r="AC498" s="169">
        <v>81026.789999999994</v>
      </c>
      <c r="AD498" s="170">
        <v>11.775</v>
      </c>
    </row>
    <row r="499" spans="28:30">
      <c r="AB499" s="169">
        <v>616135.5</v>
      </c>
      <c r="AC499" s="169">
        <v>81026.789999999994</v>
      </c>
      <c r="AD499" s="170">
        <v>0.755</v>
      </c>
    </row>
    <row r="500" spans="28:30">
      <c r="AB500" s="169">
        <v>642924</v>
      </c>
      <c r="AC500" s="169">
        <v>81026.789999999994</v>
      </c>
      <c r="AD500" s="170">
        <v>1.44</v>
      </c>
    </row>
    <row r="501" spans="28:30">
      <c r="AB501" s="169">
        <v>669712.5</v>
      </c>
      <c r="AC501" s="169">
        <v>81026.789999999994</v>
      </c>
      <c r="AD501" s="170">
        <v>1.86</v>
      </c>
    </row>
    <row r="502" spans="28:30">
      <c r="AB502" s="169">
        <v>696501</v>
      </c>
      <c r="AC502" s="169">
        <v>81026.789999999994</v>
      </c>
      <c r="AD502" s="170">
        <v>0.44</v>
      </c>
    </row>
    <row r="503" spans="28:30">
      <c r="AB503" s="169">
        <v>723289.5</v>
      </c>
      <c r="AC503" s="169">
        <v>81026.789999999994</v>
      </c>
      <c r="AD503" s="170">
        <v>3.41</v>
      </c>
    </row>
    <row r="504" spans="28:30">
      <c r="AB504" s="169">
        <v>750078</v>
      </c>
      <c r="AC504" s="169">
        <v>81026.789999999994</v>
      </c>
      <c r="AD504" s="170">
        <v>1.38</v>
      </c>
    </row>
    <row r="505" spans="28:30">
      <c r="AB505" s="169">
        <v>776866.5</v>
      </c>
      <c r="AC505" s="169">
        <v>81026.789999999994</v>
      </c>
      <c r="AD505" s="170">
        <v>2.14</v>
      </c>
    </row>
    <row r="506" spans="28:30">
      <c r="AB506" s="169">
        <v>803655</v>
      </c>
      <c r="AC506" s="169">
        <v>81026.789999999994</v>
      </c>
      <c r="AD506" s="170">
        <v>1.07</v>
      </c>
    </row>
    <row r="507" spans="28:30">
      <c r="AB507" s="169">
        <v>830443.5</v>
      </c>
      <c r="AC507" s="169">
        <v>81026.789999999994</v>
      </c>
      <c r="AD507" s="170">
        <v>3.21</v>
      </c>
    </row>
    <row r="508" spans="28:30">
      <c r="AB508" s="169">
        <v>857232</v>
      </c>
      <c r="AC508" s="169">
        <v>81026.789999999994</v>
      </c>
      <c r="AD508" s="170">
        <v>1.07</v>
      </c>
    </row>
    <row r="509" spans="28:30">
      <c r="AB509" s="169">
        <v>0.12902715000000001</v>
      </c>
      <c r="AC509" s="169">
        <v>102341.46</v>
      </c>
      <c r="AD509" s="170">
        <v>39606300</v>
      </c>
    </row>
    <row r="510" spans="28:30">
      <c r="AB510" s="169">
        <v>26788.65</v>
      </c>
      <c r="AC510" s="169">
        <v>102341.46</v>
      </c>
      <c r="AD510" s="170">
        <v>3110140</v>
      </c>
    </row>
    <row r="511" spans="28:30">
      <c r="AB511" s="169">
        <v>53577.15</v>
      </c>
      <c r="AC511" s="169">
        <v>102341.46</v>
      </c>
      <c r="AD511" s="170">
        <v>1138610</v>
      </c>
    </row>
    <row r="512" spans="28:30">
      <c r="AB512" s="169">
        <v>80365.5</v>
      </c>
      <c r="AC512" s="169">
        <v>102341.46</v>
      </c>
      <c r="AD512" s="170">
        <v>587218</v>
      </c>
    </row>
    <row r="513" spans="28:30">
      <c r="AB513" s="169">
        <v>107154</v>
      </c>
      <c r="AC513" s="169">
        <v>102341.46</v>
      </c>
      <c r="AD513" s="170">
        <v>259036</v>
      </c>
    </row>
    <row r="514" spans="28:30">
      <c r="AB514" s="169">
        <v>133942.5</v>
      </c>
      <c r="AC514" s="169">
        <v>102341.46</v>
      </c>
      <c r="AD514" s="170">
        <v>105367</v>
      </c>
    </row>
    <row r="515" spans="28:30">
      <c r="AB515" s="169">
        <v>160731</v>
      </c>
      <c r="AC515" s="169">
        <v>102341.46</v>
      </c>
      <c r="AD515" s="170">
        <v>49278.9</v>
      </c>
    </row>
    <row r="516" spans="28:30">
      <c r="AB516" s="169">
        <v>187519.5</v>
      </c>
      <c r="AC516" s="169">
        <v>102341.46</v>
      </c>
      <c r="AD516" s="170">
        <v>24956.400000000001</v>
      </c>
    </row>
    <row r="517" spans="28:30">
      <c r="AB517" s="169">
        <v>214308</v>
      </c>
      <c r="AC517" s="169">
        <v>102341.46</v>
      </c>
      <c r="AD517" s="170">
        <v>12360.3</v>
      </c>
    </row>
    <row r="518" spans="28:30">
      <c r="AB518" s="169">
        <v>241096.5</v>
      </c>
      <c r="AC518" s="169">
        <v>102341.46</v>
      </c>
      <c r="AD518" s="170">
        <v>9518.44</v>
      </c>
    </row>
    <row r="519" spans="28:30">
      <c r="AB519" s="169">
        <v>267885</v>
      </c>
      <c r="AC519" s="169">
        <v>102341.46</v>
      </c>
      <c r="AD519" s="170">
        <v>6109.4</v>
      </c>
    </row>
    <row r="520" spans="28:30">
      <c r="AB520" s="169">
        <v>294673.5</v>
      </c>
      <c r="AC520" s="169">
        <v>102341.46</v>
      </c>
      <c r="AD520" s="170">
        <v>4066.89</v>
      </c>
    </row>
    <row r="521" spans="28:30">
      <c r="AB521" s="169">
        <v>321462</v>
      </c>
      <c r="AC521" s="169">
        <v>102341.46</v>
      </c>
      <c r="AD521" s="170">
        <v>2951.38</v>
      </c>
    </row>
    <row r="522" spans="28:30">
      <c r="AB522" s="169">
        <v>348250.5</v>
      </c>
      <c r="AC522" s="169">
        <v>102341.46</v>
      </c>
      <c r="AD522" s="170">
        <v>2261.42</v>
      </c>
    </row>
    <row r="523" spans="28:30">
      <c r="AB523" s="169">
        <v>375039</v>
      </c>
      <c r="AC523" s="169">
        <v>102341.46</v>
      </c>
      <c r="AD523" s="170">
        <v>956.52</v>
      </c>
    </row>
    <row r="524" spans="28:30">
      <c r="AB524" s="169">
        <v>401827.5</v>
      </c>
      <c r="AC524" s="169">
        <v>102341.46</v>
      </c>
      <c r="AD524" s="170">
        <v>756.04</v>
      </c>
    </row>
    <row r="525" spans="28:30">
      <c r="AB525" s="169">
        <v>428616</v>
      </c>
      <c r="AC525" s="169">
        <v>102341.46</v>
      </c>
      <c r="AD525" s="170">
        <v>664.51</v>
      </c>
    </row>
    <row r="526" spans="28:30">
      <c r="AB526" s="169">
        <v>455404.5</v>
      </c>
      <c r="AC526" s="169">
        <v>102341.46</v>
      </c>
      <c r="AD526" s="170">
        <v>308.22500000000002</v>
      </c>
    </row>
    <row r="527" spans="28:30">
      <c r="AB527" s="169">
        <v>482193</v>
      </c>
      <c r="AC527" s="169">
        <v>102341.46</v>
      </c>
      <c r="AD527" s="170">
        <v>51.195</v>
      </c>
    </row>
    <row r="528" spans="28:30">
      <c r="AB528" s="169">
        <v>508981.5</v>
      </c>
      <c r="AC528" s="169">
        <v>102341.46</v>
      </c>
      <c r="AD528" s="170">
        <v>257.255</v>
      </c>
    </row>
    <row r="529" spans="28:30">
      <c r="AB529" s="169">
        <v>535770</v>
      </c>
      <c r="AC529" s="169">
        <v>102341.46</v>
      </c>
      <c r="AD529" s="170">
        <v>25.465</v>
      </c>
    </row>
    <row r="530" spans="28:30">
      <c r="AB530" s="169">
        <v>562558.5</v>
      </c>
      <c r="AC530" s="169">
        <v>102341.46</v>
      </c>
      <c r="AD530" s="170">
        <v>30.285</v>
      </c>
    </row>
    <row r="531" spans="28:30">
      <c r="AB531" s="169">
        <v>589347</v>
      </c>
      <c r="AC531" s="169">
        <v>102341.46</v>
      </c>
      <c r="AD531" s="170">
        <v>34.82</v>
      </c>
    </row>
    <row r="532" spans="28:30">
      <c r="AB532" s="169">
        <v>616135.5</v>
      </c>
      <c r="AC532" s="169">
        <v>102341.46</v>
      </c>
      <c r="AD532" s="170">
        <v>7.22</v>
      </c>
    </row>
    <row r="533" spans="28:30">
      <c r="AB533" s="169">
        <v>642924</v>
      </c>
      <c r="AC533" s="169">
        <v>102341.46</v>
      </c>
      <c r="AD533" s="170">
        <v>2.8</v>
      </c>
    </row>
    <row r="534" spans="28:30">
      <c r="AB534" s="169">
        <v>696501</v>
      </c>
      <c r="AC534" s="169">
        <v>102341.46</v>
      </c>
      <c r="AD534" s="170">
        <v>0.17</v>
      </c>
    </row>
    <row r="535" spans="28:30">
      <c r="AB535" s="169">
        <v>776866.5</v>
      </c>
      <c r="AC535" s="169">
        <v>102341.46</v>
      </c>
      <c r="AD535" s="170">
        <v>1.07</v>
      </c>
    </row>
    <row r="536" spans="28:30">
      <c r="AB536" s="169">
        <v>830443.5</v>
      </c>
      <c r="AC536" s="169">
        <v>102341.46</v>
      </c>
      <c r="AD536" s="170">
        <v>1.07</v>
      </c>
    </row>
    <row r="537" spans="28:30">
      <c r="AB537" s="169">
        <v>0.12902715000000001</v>
      </c>
      <c r="AC537" s="169">
        <v>123656.13</v>
      </c>
      <c r="AD537" s="170">
        <v>43920200</v>
      </c>
    </row>
    <row r="538" spans="28:30">
      <c r="AB538" s="169">
        <v>26788.65</v>
      </c>
      <c r="AC538" s="169">
        <v>123656.13</v>
      </c>
      <c r="AD538" s="170">
        <v>3540340</v>
      </c>
    </row>
    <row r="539" spans="28:30">
      <c r="AB539" s="169">
        <v>53577.15</v>
      </c>
      <c r="AC539" s="169">
        <v>123656.13</v>
      </c>
      <c r="AD539" s="170">
        <v>1435530</v>
      </c>
    </row>
    <row r="540" spans="28:30">
      <c r="AB540" s="169">
        <v>80365.5</v>
      </c>
      <c r="AC540" s="169">
        <v>123656.13</v>
      </c>
      <c r="AD540" s="170">
        <v>718693</v>
      </c>
    </row>
    <row r="541" spans="28:30">
      <c r="AB541" s="169">
        <v>107154</v>
      </c>
      <c r="AC541" s="169">
        <v>123656.13</v>
      </c>
      <c r="AD541" s="170">
        <v>287127</v>
      </c>
    </row>
    <row r="542" spans="28:30">
      <c r="AB542" s="169">
        <v>133942.5</v>
      </c>
      <c r="AC542" s="169">
        <v>123656.13</v>
      </c>
      <c r="AD542" s="170">
        <v>100975</v>
      </c>
    </row>
    <row r="543" spans="28:30">
      <c r="AB543" s="169">
        <v>160731</v>
      </c>
      <c r="AC543" s="169">
        <v>123656.13</v>
      </c>
      <c r="AD543" s="170">
        <v>42129.8</v>
      </c>
    </row>
    <row r="544" spans="28:30">
      <c r="AB544" s="169">
        <v>187519.5</v>
      </c>
      <c r="AC544" s="169">
        <v>123656.13</v>
      </c>
      <c r="AD544" s="170">
        <v>22705.7</v>
      </c>
    </row>
    <row r="545" spans="28:30">
      <c r="AB545" s="169">
        <v>214308</v>
      </c>
      <c r="AC545" s="169">
        <v>123656.13</v>
      </c>
      <c r="AD545" s="170">
        <v>10997.1</v>
      </c>
    </row>
    <row r="546" spans="28:30">
      <c r="AB546" s="169">
        <v>241096.5</v>
      </c>
      <c r="AC546" s="169">
        <v>123656.13</v>
      </c>
      <c r="AD546" s="170">
        <v>6777.24</v>
      </c>
    </row>
    <row r="547" spans="28:30">
      <c r="AB547" s="169">
        <v>267885</v>
      </c>
      <c r="AC547" s="169">
        <v>123656.13</v>
      </c>
      <c r="AD547" s="170">
        <v>2936.41</v>
      </c>
    </row>
    <row r="548" spans="28:30">
      <c r="AB548" s="169">
        <v>294673.5</v>
      </c>
      <c r="AC548" s="169">
        <v>123656.13</v>
      </c>
      <c r="AD548" s="170">
        <v>1445.37</v>
      </c>
    </row>
    <row r="549" spans="28:30">
      <c r="AB549" s="169">
        <v>321462</v>
      </c>
      <c r="AC549" s="169">
        <v>123656.13</v>
      </c>
      <c r="AD549" s="170">
        <v>1531.58</v>
      </c>
    </row>
    <row r="550" spans="28:30">
      <c r="AB550" s="169">
        <v>348250.5</v>
      </c>
      <c r="AC550" s="169">
        <v>123656.13</v>
      </c>
      <c r="AD550" s="170">
        <v>350.52</v>
      </c>
    </row>
    <row r="551" spans="28:30">
      <c r="AB551" s="169">
        <v>375039</v>
      </c>
      <c r="AC551" s="169">
        <v>123656.13</v>
      </c>
      <c r="AD551" s="170">
        <v>271.63499999999999</v>
      </c>
    </row>
    <row r="552" spans="28:30">
      <c r="AB552" s="169">
        <v>401827.5</v>
      </c>
      <c r="AC552" s="169">
        <v>123656.13</v>
      </c>
      <c r="AD552" s="170">
        <v>110.2</v>
      </c>
    </row>
    <row r="553" spans="28:30">
      <c r="AB553" s="169">
        <v>428616</v>
      </c>
      <c r="AC553" s="169">
        <v>123656.13</v>
      </c>
      <c r="AD553" s="170">
        <v>300.065</v>
      </c>
    </row>
    <row r="554" spans="28:30">
      <c r="AB554" s="169">
        <v>455404.5</v>
      </c>
      <c r="AC554" s="169">
        <v>123656.13</v>
      </c>
      <c r="AD554" s="170">
        <v>350.505</v>
      </c>
    </row>
    <row r="555" spans="28:30">
      <c r="AB555" s="169">
        <v>482193</v>
      </c>
      <c r="AC555" s="169">
        <v>123656.13</v>
      </c>
      <c r="AD555" s="170">
        <v>13.965</v>
      </c>
    </row>
    <row r="556" spans="28:30">
      <c r="AB556" s="169">
        <v>508981.5</v>
      </c>
      <c r="AC556" s="169">
        <v>123656.13</v>
      </c>
      <c r="AD556" s="170">
        <v>8.6549999999999994</v>
      </c>
    </row>
    <row r="557" spans="28:30">
      <c r="AB557" s="169">
        <v>535770</v>
      </c>
      <c r="AC557" s="169">
        <v>123656.13</v>
      </c>
      <c r="AD557" s="170">
        <v>2.71</v>
      </c>
    </row>
    <row r="558" spans="28:30">
      <c r="AB558" s="169">
        <v>562558.5</v>
      </c>
      <c r="AC558" s="169">
        <v>123656.13</v>
      </c>
      <c r="AD558" s="170">
        <v>6.02</v>
      </c>
    </row>
    <row r="559" spans="28:30">
      <c r="AB559" s="169">
        <v>589347</v>
      </c>
      <c r="AC559" s="169">
        <v>123656.13</v>
      </c>
      <c r="AD559" s="170">
        <v>2.0750000000000002</v>
      </c>
    </row>
    <row r="560" spans="28:30">
      <c r="AB560" s="169">
        <v>616135.5</v>
      </c>
      <c r="AC560" s="169">
        <v>123656.13</v>
      </c>
      <c r="AD560" s="170">
        <v>8.3000000000000007</v>
      </c>
    </row>
    <row r="561" spans="28:30">
      <c r="AB561" s="169">
        <v>669712.5</v>
      </c>
      <c r="AC561" s="169">
        <v>123656.13</v>
      </c>
      <c r="AD561" s="170">
        <v>1.07</v>
      </c>
    </row>
    <row r="562" spans="28:30">
      <c r="AB562" s="169">
        <v>0.12902715000000001</v>
      </c>
      <c r="AC562" s="169">
        <v>144970.79999999999</v>
      </c>
      <c r="AD562" s="170">
        <v>48280800</v>
      </c>
    </row>
    <row r="563" spans="28:30">
      <c r="AB563" s="169">
        <v>26788.65</v>
      </c>
      <c r="AC563" s="169">
        <v>144970.79999999999</v>
      </c>
      <c r="AD563" s="170">
        <v>4397940</v>
      </c>
    </row>
    <row r="564" spans="28:30">
      <c r="AB564" s="169">
        <v>53577.15</v>
      </c>
      <c r="AC564" s="169">
        <v>144970.79999999999</v>
      </c>
      <c r="AD564" s="170">
        <v>1895800</v>
      </c>
    </row>
    <row r="565" spans="28:30">
      <c r="AB565" s="169">
        <v>80365.5</v>
      </c>
      <c r="AC565" s="169">
        <v>144970.79999999999</v>
      </c>
      <c r="AD565" s="170">
        <v>948993</v>
      </c>
    </row>
    <row r="566" spans="28:30">
      <c r="AB566" s="169">
        <v>107154</v>
      </c>
      <c r="AC566" s="169">
        <v>144970.79999999999</v>
      </c>
      <c r="AD566" s="170">
        <v>373422</v>
      </c>
    </row>
    <row r="567" spans="28:30">
      <c r="AB567" s="169">
        <v>133942.5</v>
      </c>
      <c r="AC567" s="169">
        <v>144970.79999999999</v>
      </c>
      <c r="AD567" s="170">
        <v>147580</v>
      </c>
    </row>
    <row r="568" spans="28:30">
      <c r="AB568" s="169">
        <v>160731</v>
      </c>
      <c r="AC568" s="169">
        <v>144970.79999999999</v>
      </c>
      <c r="AD568" s="170">
        <v>63014.400000000001</v>
      </c>
    </row>
    <row r="569" spans="28:30">
      <c r="AB569" s="169">
        <v>187519.5</v>
      </c>
      <c r="AC569" s="169">
        <v>144970.79999999999</v>
      </c>
      <c r="AD569" s="170">
        <v>26026.799999999999</v>
      </c>
    </row>
    <row r="570" spans="28:30">
      <c r="AB570" s="169">
        <v>214308</v>
      </c>
      <c r="AC570" s="169">
        <v>144970.79999999999</v>
      </c>
      <c r="AD570" s="170">
        <v>6263.17</v>
      </c>
    </row>
    <row r="571" spans="28:30">
      <c r="AB571" s="169">
        <v>241096.5</v>
      </c>
      <c r="AC571" s="169">
        <v>144970.79999999999</v>
      </c>
      <c r="AD571" s="170">
        <v>2844.09</v>
      </c>
    </row>
    <row r="572" spans="28:30">
      <c r="AB572" s="169">
        <v>267885</v>
      </c>
      <c r="AC572" s="169">
        <v>144970.79999999999</v>
      </c>
      <c r="AD572" s="170">
        <v>1656.4</v>
      </c>
    </row>
    <row r="573" spans="28:30">
      <c r="AB573" s="169">
        <v>294673.5</v>
      </c>
      <c r="AC573" s="169">
        <v>144970.79999999999</v>
      </c>
      <c r="AD573" s="170">
        <v>605.30999999999995</v>
      </c>
    </row>
    <row r="574" spans="28:30">
      <c r="AB574" s="169">
        <v>321462</v>
      </c>
      <c r="AC574" s="169">
        <v>144970.79999999999</v>
      </c>
      <c r="AD574" s="170">
        <v>200.08500000000001</v>
      </c>
    </row>
    <row r="575" spans="28:30">
      <c r="AB575" s="169">
        <v>348250.5</v>
      </c>
      <c r="AC575" s="169">
        <v>144970.79999999999</v>
      </c>
      <c r="AD575" s="170">
        <v>97.14</v>
      </c>
    </row>
    <row r="576" spans="28:30">
      <c r="AB576" s="169">
        <v>375039</v>
      </c>
      <c r="AC576" s="169">
        <v>144970.79999999999</v>
      </c>
      <c r="AD576" s="170">
        <v>44.82</v>
      </c>
    </row>
    <row r="577" spans="28:30">
      <c r="AB577" s="169">
        <v>401827.5</v>
      </c>
      <c r="AC577" s="169">
        <v>144970.79999999999</v>
      </c>
      <c r="AD577" s="170">
        <v>32.700000000000003</v>
      </c>
    </row>
    <row r="578" spans="28:30">
      <c r="AB578" s="169">
        <v>428616</v>
      </c>
      <c r="AC578" s="169">
        <v>144970.79999999999</v>
      </c>
      <c r="AD578" s="170">
        <v>9.7200000000000006</v>
      </c>
    </row>
    <row r="579" spans="28:30">
      <c r="AB579" s="169">
        <v>455404.5</v>
      </c>
      <c r="AC579" s="169">
        <v>144970.79999999999</v>
      </c>
      <c r="AD579" s="170">
        <v>1.655</v>
      </c>
    </row>
    <row r="580" spans="28:30">
      <c r="AB580" s="169">
        <v>508981.5</v>
      </c>
      <c r="AC580" s="169">
        <v>144970.79999999999</v>
      </c>
      <c r="AD580" s="170">
        <v>77.765000000000001</v>
      </c>
    </row>
    <row r="581" spans="28:30">
      <c r="AB581" s="169">
        <v>0.12902715000000001</v>
      </c>
      <c r="AC581" s="169">
        <v>166285.6</v>
      </c>
      <c r="AD581" s="170">
        <v>46684300</v>
      </c>
    </row>
    <row r="582" spans="28:30">
      <c r="AB582" s="169">
        <v>26788.65</v>
      </c>
      <c r="AC582" s="169">
        <v>166285.6</v>
      </c>
      <c r="AD582" s="170">
        <v>3618830</v>
      </c>
    </row>
    <row r="583" spans="28:30">
      <c r="AB583" s="169">
        <v>53577.15</v>
      </c>
      <c r="AC583" s="169">
        <v>166285.6</v>
      </c>
      <c r="AD583" s="170">
        <v>1981210</v>
      </c>
    </row>
    <row r="584" spans="28:30">
      <c r="AB584" s="169">
        <v>80365.5</v>
      </c>
      <c r="AC584" s="169">
        <v>166285.6</v>
      </c>
      <c r="AD584" s="170">
        <v>983771</v>
      </c>
    </row>
    <row r="585" spans="28:30">
      <c r="AB585" s="169">
        <v>107154</v>
      </c>
      <c r="AC585" s="169">
        <v>166285.6</v>
      </c>
      <c r="AD585" s="170">
        <v>356303</v>
      </c>
    </row>
    <row r="586" spans="28:30">
      <c r="AB586" s="169">
        <v>133942.5</v>
      </c>
      <c r="AC586" s="169">
        <v>166285.6</v>
      </c>
      <c r="AD586" s="170">
        <v>131990</v>
      </c>
    </row>
    <row r="587" spans="28:30">
      <c r="AB587" s="169">
        <v>160731</v>
      </c>
      <c r="AC587" s="169">
        <v>166285.6</v>
      </c>
      <c r="AD587" s="170">
        <v>45092.5</v>
      </c>
    </row>
    <row r="588" spans="28:30">
      <c r="AB588" s="169">
        <v>187519.5</v>
      </c>
      <c r="AC588" s="169">
        <v>166285.6</v>
      </c>
      <c r="AD588" s="170">
        <v>12867.3</v>
      </c>
    </row>
    <row r="589" spans="28:30">
      <c r="AB589" s="169">
        <v>214308</v>
      </c>
      <c r="AC589" s="169">
        <v>166285.6</v>
      </c>
      <c r="AD589" s="170">
        <v>3075.67</v>
      </c>
    </row>
    <row r="590" spans="28:30">
      <c r="AB590" s="169">
        <v>241096.5</v>
      </c>
      <c r="AC590" s="169">
        <v>166285.6</v>
      </c>
      <c r="AD590" s="170">
        <v>699.17</v>
      </c>
    </row>
    <row r="591" spans="28:30">
      <c r="AB591" s="169">
        <v>267885</v>
      </c>
      <c r="AC591" s="169">
        <v>166285.6</v>
      </c>
      <c r="AD591" s="170">
        <v>364.58499999999998</v>
      </c>
    </row>
    <row r="592" spans="28:30">
      <c r="AB592" s="169">
        <v>294673.5</v>
      </c>
      <c r="AC592" s="169">
        <v>166285.6</v>
      </c>
      <c r="AD592" s="170">
        <v>159.20500000000001</v>
      </c>
    </row>
    <row r="593" spans="28:30">
      <c r="AB593" s="169">
        <v>321462</v>
      </c>
      <c r="AC593" s="169">
        <v>166285.6</v>
      </c>
      <c r="AD593" s="170">
        <v>151.79</v>
      </c>
    </row>
    <row r="594" spans="28:30">
      <c r="AB594" s="169">
        <v>348250.5</v>
      </c>
      <c r="AC594" s="169">
        <v>166285.6</v>
      </c>
      <c r="AD594" s="170">
        <v>76.58</v>
      </c>
    </row>
    <row r="595" spans="28:30">
      <c r="AB595" s="169">
        <v>375039</v>
      </c>
      <c r="AC595" s="169">
        <v>166285.6</v>
      </c>
      <c r="AD595" s="170">
        <v>35.645000000000003</v>
      </c>
    </row>
    <row r="596" spans="28:30">
      <c r="AB596" s="169">
        <v>0.12902715000000001</v>
      </c>
      <c r="AC596" s="169">
        <v>187600.4</v>
      </c>
      <c r="AD596" s="170">
        <v>43783600</v>
      </c>
    </row>
    <row r="597" spans="28:30">
      <c r="AB597" s="169">
        <v>26788.65</v>
      </c>
      <c r="AC597" s="169">
        <v>187600.4</v>
      </c>
      <c r="AD597" s="170">
        <v>3339240</v>
      </c>
    </row>
    <row r="598" spans="28:30">
      <c r="AB598" s="169">
        <v>53577.15</v>
      </c>
      <c r="AC598" s="169">
        <v>187600.4</v>
      </c>
      <c r="AD598" s="170">
        <v>1797130</v>
      </c>
    </row>
    <row r="599" spans="28:30">
      <c r="AB599" s="169">
        <v>80365.5</v>
      </c>
      <c r="AC599" s="169">
        <v>187600.4</v>
      </c>
      <c r="AD599" s="170">
        <v>745734</v>
      </c>
    </row>
    <row r="600" spans="28:30">
      <c r="AB600" s="169">
        <v>107154</v>
      </c>
      <c r="AC600" s="169">
        <v>187600.4</v>
      </c>
      <c r="AD600" s="170">
        <v>267329</v>
      </c>
    </row>
    <row r="601" spans="28:30">
      <c r="AB601" s="169">
        <v>133942.5</v>
      </c>
      <c r="AC601" s="169">
        <v>187600.4</v>
      </c>
      <c r="AD601" s="170">
        <v>81840.3</v>
      </c>
    </row>
    <row r="602" spans="28:30">
      <c r="AB602" s="169">
        <v>160731</v>
      </c>
      <c r="AC602" s="169">
        <v>187600.4</v>
      </c>
      <c r="AD602" s="170">
        <v>29969.9</v>
      </c>
    </row>
    <row r="603" spans="28:30">
      <c r="AB603" s="169">
        <v>187519.5</v>
      </c>
      <c r="AC603" s="169">
        <v>187600.4</v>
      </c>
      <c r="AD603" s="170">
        <v>7263.94</v>
      </c>
    </row>
    <row r="604" spans="28:30">
      <c r="AB604" s="169">
        <v>214308</v>
      </c>
      <c r="AC604" s="169">
        <v>187600.4</v>
      </c>
      <c r="AD604" s="170">
        <v>6742.18</v>
      </c>
    </row>
    <row r="605" spans="28:30">
      <c r="AB605" s="169">
        <v>241096.5</v>
      </c>
      <c r="AC605" s="169">
        <v>187600.4</v>
      </c>
      <c r="AD605" s="170">
        <v>619.05999999999995</v>
      </c>
    </row>
    <row r="606" spans="28:30">
      <c r="AB606" s="169">
        <v>267885</v>
      </c>
      <c r="AC606" s="169">
        <v>187600.4</v>
      </c>
      <c r="AD606" s="170">
        <v>245.67500000000001</v>
      </c>
    </row>
    <row r="607" spans="28:30">
      <c r="AB607" s="169">
        <v>294673.5</v>
      </c>
      <c r="AC607" s="169">
        <v>187600.4</v>
      </c>
      <c r="AD607" s="170">
        <v>86.844999999999999</v>
      </c>
    </row>
    <row r="608" spans="28:30">
      <c r="AB608" s="169">
        <v>321462</v>
      </c>
      <c r="AC608" s="169">
        <v>187600.4</v>
      </c>
      <c r="AD608" s="170">
        <v>132.245</v>
      </c>
    </row>
    <row r="609" spans="28:30">
      <c r="AB609" s="169">
        <v>348250.5</v>
      </c>
      <c r="AC609" s="169">
        <v>187600.4</v>
      </c>
      <c r="AD609" s="170">
        <v>35.11</v>
      </c>
    </row>
    <row r="610" spans="28:30">
      <c r="AB610" s="169">
        <v>375039</v>
      </c>
      <c r="AC610" s="169">
        <v>187600.4</v>
      </c>
      <c r="AD610" s="170">
        <v>14.76</v>
      </c>
    </row>
    <row r="611" spans="28:30">
      <c r="AB611" s="169">
        <v>0.12902715000000001</v>
      </c>
      <c r="AC611" s="169">
        <v>208915.20000000001</v>
      </c>
      <c r="AD611" s="170">
        <v>40627800</v>
      </c>
    </row>
    <row r="612" spans="28:30">
      <c r="AB612" s="169">
        <v>26788.65</v>
      </c>
      <c r="AC612" s="169">
        <v>208915.20000000001</v>
      </c>
      <c r="AD612" s="170">
        <v>2840930</v>
      </c>
    </row>
    <row r="613" spans="28:30">
      <c r="AB613" s="169">
        <v>53577.15</v>
      </c>
      <c r="AC613" s="169">
        <v>208915.20000000001</v>
      </c>
      <c r="AD613" s="170">
        <v>1427730</v>
      </c>
    </row>
    <row r="614" spans="28:30">
      <c r="AB614" s="169">
        <v>80365.5</v>
      </c>
      <c r="AC614" s="169">
        <v>208915.20000000001</v>
      </c>
      <c r="AD614" s="170">
        <v>468761</v>
      </c>
    </row>
    <row r="615" spans="28:30">
      <c r="AB615" s="169">
        <v>107154</v>
      </c>
      <c r="AC615" s="169">
        <v>208915.20000000001</v>
      </c>
      <c r="AD615" s="170">
        <v>149281</v>
      </c>
    </row>
    <row r="616" spans="28:30">
      <c r="AB616" s="169">
        <v>133942.5</v>
      </c>
      <c r="AC616" s="169">
        <v>208915.20000000001</v>
      </c>
      <c r="AD616" s="170">
        <v>64316.1</v>
      </c>
    </row>
    <row r="617" spans="28:30">
      <c r="AB617" s="169">
        <v>160731</v>
      </c>
      <c r="AC617" s="169">
        <v>208915.20000000001</v>
      </c>
      <c r="AD617" s="170">
        <v>22960.3</v>
      </c>
    </row>
    <row r="618" spans="28:30">
      <c r="AB618" s="169">
        <v>187519.5</v>
      </c>
      <c r="AC618" s="169">
        <v>208915.20000000001</v>
      </c>
      <c r="AD618" s="170">
        <v>10539.9</v>
      </c>
    </row>
    <row r="619" spans="28:30">
      <c r="AB619" s="169">
        <v>214308</v>
      </c>
      <c r="AC619" s="169">
        <v>208915.20000000001</v>
      </c>
      <c r="AD619" s="170">
        <v>2110.14</v>
      </c>
    </row>
    <row r="620" spans="28:30">
      <c r="AB620" s="169">
        <v>241096.5</v>
      </c>
      <c r="AC620" s="169">
        <v>208915.20000000001</v>
      </c>
      <c r="AD620" s="170">
        <v>1275.6199999999999</v>
      </c>
    </row>
    <row r="621" spans="28:30">
      <c r="AB621" s="169">
        <v>267885</v>
      </c>
      <c r="AC621" s="169">
        <v>208915.20000000001</v>
      </c>
      <c r="AD621" s="170">
        <v>91.944999999999993</v>
      </c>
    </row>
    <row r="622" spans="28:30">
      <c r="AB622" s="169">
        <v>294673.5</v>
      </c>
      <c r="AC622" s="169">
        <v>208915.20000000001</v>
      </c>
      <c r="AD622" s="170">
        <v>33.99</v>
      </c>
    </row>
    <row r="623" spans="28:30">
      <c r="AB623" s="169">
        <v>321462</v>
      </c>
      <c r="AC623" s="169">
        <v>208915.20000000001</v>
      </c>
      <c r="AD623" s="170">
        <v>2.355</v>
      </c>
    </row>
    <row r="624" spans="28:30">
      <c r="AB624" s="169">
        <v>348250.5</v>
      </c>
      <c r="AC624" s="169">
        <v>208915.20000000001</v>
      </c>
      <c r="AD624" s="170">
        <v>12.09</v>
      </c>
    </row>
    <row r="625" spans="28:30">
      <c r="AB625" s="169">
        <v>375039</v>
      </c>
      <c r="AC625" s="169">
        <v>208915.20000000001</v>
      </c>
      <c r="AD625" s="170">
        <v>7.98</v>
      </c>
    </row>
    <row r="626" spans="28:30">
      <c r="AB626" s="169">
        <v>401827.5</v>
      </c>
      <c r="AC626" s="169">
        <v>208915.20000000001</v>
      </c>
      <c r="AD626" s="170">
        <v>0.91500000000000004</v>
      </c>
    </row>
    <row r="627" spans="28:30">
      <c r="AB627" s="169">
        <v>0.12902715000000001</v>
      </c>
      <c r="AC627" s="169">
        <v>230230</v>
      </c>
      <c r="AD627" s="170">
        <v>35777400</v>
      </c>
    </row>
    <row r="628" spans="28:30">
      <c r="AB628" s="169">
        <v>26788.65</v>
      </c>
      <c r="AC628" s="169">
        <v>230230</v>
      </c>
      <c r="AD628" s="170">
        <v>2722360</v>
      </c>
    </row>
    <row r="629" spans="28:30">
      <c r="AB629" s="169">
        <v>53577.15</v>
      </c>
      <c r="AC629" s="169">
        <v>230230</v>
      </c>
      <c r="AD629" s="170">
        <v>1097220</v>
      </c>
    </row>
    <row r="630" spans="28:30">
      <c r="AB630" s="169">
        <v>80365.5</v>
      </c>
      <c r="AC630" s="169">
        <v>230230</v>
      </c>
      <c r="AD630" s="170">
        <v>308720</v>
      </c>
    </row>
    <row r="631" spans="28:30">
      <c r="AB631" s="169">
        <v>107154</v>
      </c>
      <c r="AC631" s="169">
        <v>230230</v>
      </c>
      <c r="AD631" s="170">
        <v>94976.7</v>
      </c>
    </row>
    <row r="632" spans="28:30">
      <c r="AB632" s="169">
        <v>133942.5</v>
      </c>
      <c r="AC632" s="169">
        <v>230230</v>
      </c>
      <c r="AD632" s="170">
        <v>62864.800000000003</v>
      </c>
    </row>
    <row r="633" spans="28:30">
      <c r="AB633" s="169">
        <v>160731</v>
      </c>
      <c r="AC633" s="169">
        <v>230230</v>
      </c>
      <c r="AD633" s="170">
        <v>29051.5</v>
      </c>
    </row>
    <row r="634" spans="28:30">
      <c r="AB634" s="169">
        <v>187519.5</v>
      </c>
      <c r="AC634" s="169">
        <v>230230</v>
      </c>
      <c r="AD634" s="170">
        <v>17863.7</v>
      </c>
    </row>
    <row r="635" spans="28:30">
      <c r="AB635" s="169">
        <v>214308</v>
      </c>
      <c r="AC635" s="169">
        <v>230230</v>
      </c>
      <c r="AD635" s="170">
        <v>2412.96</v>
      </c>
    </row>
    <row r="636" spans="28:30">
      <c r="AB636" s="169">
        <v>241096.5</v>
      </c>
      <c r="AC636" s="169">
        <v>230230</v>
      </c>
      <c r="AD636" s="170">
        <v>44.48</v>
      </c>
    </row>
    <row r="637" spans="28:30">
      <c r="AB637" s="169">
        <v>267885</v>
      </c>
      <c r="AC637" s="169">
        <v>230230</v>
      </c>
      <c r="AD637" s="170">
        <v>83.26</v>
      </c>
    </row>
    <row r="638" spans="28:30">
      <c r="AB638" s="169">
        <v>0.12902715000000001</v>
      </c>
      <c r="AC638" s="169">
        <v>251543.5</v>
      </c>
      <c r="AD638" s="170">
        <v>40055300</v>
      </c>
    </row>
    <row r="639" spans="28:30">
      <c r="AB639" s="169">
        <v>26788.65</v>
      </c>
      <c r="AC639" s="169">
        <v>251543.5</v>
      </c>
      <c r="AD639" s="170">
        <v>2986570</v>
      </c>
    </row>
    <row r="640" spans="28:30">
      <c r="AB640" s="169">
        <v>53577.15</v>
      </c>
      <c r="AC640" s="169">
        <v>251543.5</v>
      </c>
      <c r="AD640" s="170">
        <v>1322270</v>
      </c>
    </row>
    <row r="641" spans="28:30">
      <c r="AB641" s="169">
        <v>80365.5</v>
      </c>
      <c r="AC641" s="169">
        <v>251543.5</v>
      </c>
      <c r="AD641" s="170">
        <v>338932</v>
      </c>
    </row>
    <row r="642" spans="28:30">
      <c r="AB642" s="169">
        <v>107154</v>
      </c>
      <c r="AC642" s="169">
        <v>251543.5</v>
      </c>
      <c r="AD642" s="170">
        <v>102627</v>
      </c>
    </row>
    <row r="643" spans="28:30">
      <c r="AB643" s="169">
        <v>133942.5</v>
      </c>
      <c r="AC643" s="169">
        <v>251543.5</v>
      </c>
      <c r="AD643" s="170">
        <v>64023</v>
      </c>
    </row>
    <row r="644" spans="28:30">
      <c r="AB644" s="169">
        <v>160731</v>
      </c>
      <c r="AC644" s="169">
        <v>251543.5</v>
      </c>
      <c r="AD644" s="170">
        <v>21693.8</v>
      </c>
    </row>
    <row r="645" spans="28:30">
      <c r="AB645" s="169">
        <v>187519.5</v>
      </c>
      <c r="AC645" s="169">
        <v>251543.5</v>
      </c>
      <c r="AD645" s="170">
        <v>14335.1</v>
      </c>
    </row>
    <row r="646" spans="28:30">
      <c r="AB646" s="169">
        <v>214308</v>
      </c>
      <c r="AC646" s="169">
        <v>251543.5</v>
      </c>
      <c r="AD646" s="170">
        <v>3870.37</v>
      </c>
    </row>
    <row r="647" spans="28:30">
      <c r="AB647" s="169">
        <v>241096.5</v>
      </c>
      <c r="AC647" s="169">
        <v>251543.5</v>
      </c>
      <c r="AD647" s="170">
        <v>188.92</v>
      </c>
    </row>
    <row r="648" spans="28:30">
      <c r="AB648" s="169">
        <v>267885</v>
      </c>
      <c r="AC648" s="169">
        <v>251543.5</v>
      </c>
      <c r="AD648" s="170">
        <v>34.005000000000003</v>
      </c>
    </row>
    <row r="649" spans="28:30">
      <c r="AB649" s="169">
        <v>0.12902715000000001</v>
      </c>
      <c r="AC649" s="169">
        <v>272858.3</v>
      </c>
      <c r="AD649" s="170">
        <v>35465200</v>
      </c>
    </row>
    <row r="650" spans="28:30">
      <c r="AB650" s="169">
        <v>26788.65</v>
      </c>
      <c r="AC650" s="169">
        <v>272858.3</v>
      </c>
      <c r="AD650" s="170">
        <v>2800300</v>
      </c>
    </row>
    <row r="651" spans="28:30">
      <c r="AB651" s="169">
        <v>53577.15</v>
      </c>
      <c r="AC651" s="169">
        <v>272858.3</v>
      </c>
      <c r="AD651" s="170">
        <v>1360230</v>
      </c>
    </row>
    <row r="652" spans="28:30">
      <c r="AB652" s="169">
        <v>80365.5</v>
      </c>
      <c r="AC652" s="169">
        <v>272858.3</v>
      </c>
      <c r="AD652" s="170">
        <v>307601</v>
      </c>
    </row>
    <row r="653" spans="28:30">
      <c r="AB653" s="169">
        <v>107154</v>
      </c>
      <c r="AC653" s="169">
        <v>272858.3</v>
      </c>
      <c r="AD653" s="170">
        <v>60947.8</v>
      </c>
    </row>
    <row r="654" spans="28:30">
      <c r="AB654" s="169">
        <v>133942.5</v>
      </c>
      <c r="AC654" s="169">
        <v>272858.3</v>
      </c>
      <c r="AD654" s="170">
        <v>39878.9</v>
      </c>
    </row>
    <row r="655" spans="28:30">
      <c r="AB655" s="169">
        <v>160731</v>
      </c>
      <c r="AC655" s="169">
        <v>272858.3</v>
      </c>
      <c r="AD655" s="170">
        <v>21098.400000000001</v>
      </c>
    </row>
    <row r="656" spans="28:30">
      <c r="AB656" s="169">
        <v>187519.5</v>
      </c>
      <c r="AC656" s="169">
        <v>272858.3</v>
      </c>
      <c r="AD656" s="170">
        <v>4778.6899999999996</v>
      </c>
    </row>
    <row r="657" spans="28:30">
      <c r="AB657" s="169">
        <v>214308</v>
      </c>
      <c r="AC657" s="169">
        <v>272858.3</v>
      </c>
      <c r="AD657" s="170">
        <v>383.435</v>
      </c>
    </row>
    <row r="658" spans="28:30">
      <c r="AB658" s="169">
        <v>241096.5</v>
      </c>
      <c r="AC658" s="169">
        <v>272858.3</v>
      </c>
      <c r="AD658" s="170">
        <v>25.88</v>
      </c>
    </row>
    <row r="659" spans="28:30">
      <c r="AB659" s="169">
        <v>267885</v>
      </c>
      <c r="AC659" s="169">
        <v>272858.3</v>
      </c>
      <c r="AD659" s="170">
        <v>0.88500000000000001</v>
      </c>
    </row>
    <row r="660" spans="28:30">
      <c r="AB660" s="169">
        <v>0.12902715000000001</v>
      </c>
      <c r="AC660" s="169">
        <v>294173.09999999998</v>
      </c>
      <c r="AD660" s="170">
        <v>24300700</v>
      </c>
    </row>
    <row r="661" spans="28:30">
      <c r="AB661" s="169">
        <v>26788.65</v>
      </c>
      <c r="AC661" s="169">
        <v>294173.09999999998</v>
      </c>
      <c r="AD661" s="170">
        <v>2100900</v>
      </c>
    </row>
    <row r="662" spans="28:30">
      <c r="AB662" s="169">
        <v>53577.15</v>
      </c>
      <c r="AC662" s="169">
        <v>294173.09999999998</v>
      </c>
      <c r="AD662" s="170">
        <v>811211</v>
      </c>
    </row>
    <row r="663" spans="28:30">
      <c r="AB663" s="169">
        <v>80365.5</v>
      </c>
      <c r="AC663" s="169">
        <v>294173.09999999998</v>
      </c>
      <c r="AD663" s="170">
        <v>163029</v>
      </c>
    </row>
    <row r="664" spans="28:30">
      <c r="AB664" s="169">
        <v>107154</v>
      </c>
      <c r="AC664" s="169">
        <v>294173.09999999998</v>
      </c>
      <c r="AD664" s="170">
        <v>37947.599999999999</v>
      </c>
    </row>
    <row r="665" spans="28:30">
      <c r="AB665" s="169">
        <v>133942.5</v>
      </c>
      <c r="AC665" s="169">
        <v>294173.09999999998</v>
      </c>
      <c r="AD665" s="170">
        <v>10170.799999999999</v>
      </c>
    </row>
    <row r="666" spans="28:30">
      <c r="AB666" s="169">
        <v>160731</v>
      </c>
      <c r="AC666" s="169">
        <v>294173.09999999998</v>
      </c>
      <c r="AD666" s="170">
        <v>1811.69</v>
      </c>
    </row>
    <row r="667" spans="28:30">
      <c r="AB667" s="169">
        <v>187519.5</v>
      </c>
      <c r="AC667" s="169">
        <v>294173.09999999998</v>
      </c>
      <c r="AD667" s="170">
        <v>33.475000000000001</v>
      </c>
    </row>
    <row r="668" spans="28:30">
      <c r="AB668" s="169">
        <v>214308</v>
      </c>
      <c r="AC668" s="169">
        <v>294173.09999999998</v>
      </c>
      <c r="AD668" s="170">
        <v>2.9649999999999999</v>
      </c>
    </row>
    <row r="669" spans="28:30">
      <c r="AB669" s="169">
        <v>241096.5</v>
      </c>
      <c r="AC669" s="169">
        <v>294173.09999999998</v>
      </c>
      <c r="AD669" s="170">
        <v>3.7</v>
      </c>
    </row>
    <row r="670" spans="28:30">
      <c r="AB670" s="169">
        <v>0.12902715000000001</v>
      </c>
      <c r="AC670" s="169">
        <v>315487.90000000002</v>
      </c>
      <c r="AD670" s="170">
        <v>9542830</v>
      </c>
    </row>
    <row r="671" spans="28:30">
      <c r="AB671" s="169">
        <v>26788.65</v>
      </c>
      <c r="AC671" s="169">
        <v>315487.90000000002</v>
      </c>
      <c r="AD671" s="170">
        <v>686830</v>
      </c>
    </row>
    <row r="672" spans="28:30">
      <c r="AB672" s="169">
        <v>53577.15</v>
      </c>
      <c r="AC672" s="169">
        <v>315487.90000000002</v>
      </c>
      <c r="AD672" s="170">
        <v>201361</v>
      </c>
    </row>
    <row r="673" spans="28:30">
      <c r="AB673" s="169">
        <v>80365.5</v>
      </c>
      <c r="AC673" s="169">
        <v>315487.90000000002</v>
      </c>
      <c r="AD673" s="170">
        <v>18592</v>
      </c>
    </row>
    <row r="674" spans="28:30">
      <c r="AB674" s="169">
        <v>107154</v>
      </c>
      <c r="AC674" s="169">
        <v>315487.90000000002</v>
      </c>
      <c r="AD674" s="170">
        <v>2353.5</v>
      </c>
    </row>
    <row r="675" spans="28:30">
      <c r="AB675" s="169">
        <v>133942.5</v>
      </c>
      <c r="AC675" s="169">
        <v>315487.90000000002</v>
      </c>
      <c r="AD675" s="170">
        <v>27.72</v>
      </c>
    </row>
    <row r="676" spans="28:30">
      <c r="AB676" s="169">
        <v>160731</v>
      </c>
      <c r="AC676" s="169">
        <v>315487.90000000002</v>
      </c>
      <c r="AD676" s="170">
        <v>0.73499999999999999</v>
      </c>
    </row>
    <row r="677" spans="28:30">
      <c r="AB677" s="169">
        <v>187519.5</v>
      </c>
      <c r="AC677" s="169">
        <v>315487.90000000002</v>
      </c>
      <c r="AD677" s="170">
        <v>0.73499999999999999</v>
      </c>
    </row>
    <row r="678" spans="28:30">
      <c r="AB678" s="169">
        <v>0.12902715000000001</v>
      </c>
      <c r="AC678" s="169">
        <v>336802.7</v>
      </c>
      <c r="AD678" s="170">
        <v>643371</v>
      </c>
    </row>
    <row r="679" spans="28:30">
      <c r="AB679" s="169">
        <v>26788.65</v>
      </c>
      <c r="AC679" s="169">
        <v>336802.7</v>
      </c>
      <c r="AD679" s="170">
        <v>2587.0500000000002</v>
      </c>
    </row>
    <row r="680" spans="28:30">
      <c r="AB680" s="169">
        <v>80365.5</v>
      </c>
      <c r="AC680" s="169">
        <v>336802.7</v>
      </c>
      <c r="AD680" s="170">
        <v>3.5550000000000002</v>
      </c>
    </row>
    <row r="681" spans="28:30">
      <c r="AB681" s="169">
        <v>0.12902715000000001</v>
      </c>
      <c r="AC681" s="169">
        <v>358117.5</v>
      </c>
      <c r="AD681" s="170">
        <v>616.04</v>
      </c>
    </row>
    <row r="682" spans="28:30">
      <c r="AB682" s="169">
        <v>0.12902715000000001</v>
      </c>
      <c r="AC682" s="169">
        <v>379432.3</v>
      </c>
      <c r="AD682" s="170">
        <v>23.67</v>
      </c>
    </row>
    <row r="683" spans="28:30">
      <c r="AB683" s="169">
        <v>0</v>
      </c>
      <c r="AC683" s="169">
        <v>0</v>
      </c>
      <c r="AD683" s="170">
        <v>0</v>
      </c>
    </row>
    <row r="684" spans="28:30">
      <c r="AB684" s="169">
        <v>0</v>
      </c>
      <c r="AC684" s="169">
        <v>0</v>
      </c>
      <c r="AD684" s="170">
        <v>0</v>
      </c>
    </row>
    <row r="685" spans="28:30">
      <c r="AB685" s="169">
        <v>0</v>
      </c>
      <c r="AC685" s="169">
        <v>0</v>
      </c>
      <c r="AD685" s="170">
        <v>0</v>
      </c>
    </row>
    <row r="686" spans="28:30">
      <c r="AB686" s="169">
        <v>0</v>
      </c>
      <c r="AC686" s="169">
        <v>0</v>
      </c>
      <c r="AD686" s="170">
        <v>0</v>
      </c>
    </row>
    <row r="687" spans="28:30">
      <c r="AB687" s="169">
        <v>0</v>
      </c>
      <c r="AC687" s="169">
        <v>0</v>
      </c>
      <c r="AD687" s="170">
        <v>0</v>
      </c>
    </row>
    <row r="688" spans="28:30">
      <c r="AB688" s="169">
        <v>0</v>
      </c>
      <c r="AC688" s="169">
        <v>0</v>
      </c>
      <c r="AD688" s="170">
        <v>0</v>
      </c>
    </row>
    <row r="689" spans="28:30">
      <c r="AB689" s="169">
        <v>0</v>
      </c>
      <c r="AC689" s="169">
        <v>0</v>
      </c>
      <c r="AD689" s="170">
        <v>0</v>
      </c>
    </row>
    <row r="690" spans="28:30">
      <c r="AB690" s="169">
        <v>0</v>
      </c>
      <c r="AC690" s="169">
        <v>0</v>
      </c>
      <c r="AD690" s="170">
        <v>0</v>
      </c>
    </row>
    <row r="691" spans="28:30">
      <c r="AB691" s="169">
        <v>0</v>
      </c>
      <c r="AC691" s="169">
        <v>0</v>
      </c>
      <c r="AD691" s="170">
        <v>0</v>
      </c>
    </row>
    <row r="692" spans="28:30">
      <c r="AB692" s="169">
        <v>0</v>
      </c>
      <c r="AC692" s="169">
        <v>0</v>
      </c>
      <c r="AD692" s="170">
        <v>0</v>
      </c>
    </row>
    <row r="693" spans="28:30">
      <c r="AB693" s="169">
        <v>0</v>
      </c>
      <c r="AC693" s="169">
        <v>0</v>
      </c>
      <c r="AD693" s="170">
        <v>0</v>
      </c>
    </row>
    <row r="694" spans="28:30">
      <c r="AB694" s="169">
        <v>0</v>
      </c>
      <c r="AC694" s="169">
        <v>0</v>
      </c>
      <c r="AD694" s="170">
        <v>0</v>
      </c>
    </row>
    <row r="695" spans="28:30">
      <c r="AB695" s="169">
        <v>0</v>
      </c>
      <c r="AC695" s="169">
        <v>0</v>
      </c>
      <c r="AD695" s="170">
        <v>0</v>
      </c>
    </row>
    <row r="696" spans="28:30">
      <c r="AB696" s="169">
        <v>0</v>
      </c>
      <c r="AC696" s="169">
        <v>0</v>
      </c>
      <c r="AD696" s="170">
        <v>0</v>
      </c>
    </row>
    <row r="697" spans="28:30">
      <c r="AB697" s="169">
        <v>0</v>
      </c>
      <c r="AC697" s="169">
        <v>0</v>
      </c>
      <c r="AD697" s="170">
        <v>0</v>
      </c>
    </row>
    <row r="698" spans="28:30">
      <c r="AB698" s="169">
        <v>0</v>
      </c>
      <c r="AC698" s="169">
        <v>0</v>
      </c>
      <c r="AD698" s="170">
        <v>0</v>
      </c>
    </row>
    <row r="699" spans="28:30">
      <c r="AB699" s="169">
        <v>0</v>
      </c>
      <c r="AC699" s="169">
        <v>0</v>
      </c>
      <c r="AD699" s="170">
        <v>0</v>
      </c>
    </row>
    <row r="700" spans="28:30">
      <c r="AB700" s="169">
        <v>0</v>
      </c>
      <c r="AC700" s="169">
        <v>0</v>
      </c>
      <c r="AD700" s="170">
        <v>0</v>
      </c>
    </row>
    <row r="701" spans="28:30">
      <c r="AB701" s="169">
        <v>0</v>
      </c>
      <c r="AC701" s="169">
        <v>0</v>
      </c>
      <c r="AD701" s="170">
        <v>0</v>
      </c>
    </row>
    <row r="702" spans="28:30">
      <c r="AB702" s="169">
        <v>0</v>
      </c>
      <c r="AC702" s="169">
        <v>0</v>
      </c>
      <c r="AD702" s="170">
        <v>0</v>
      </c>
    </row>
    <row r="703" spans="28:30">
      <c r="AB703" s="169">
        <v>0</v>
      </c>
      <c r="AC703" s="169">
        <v>0</v>
      </c>
      <c r="AD703" s="170">
        <v>0</v>
      </c>
    </row>
    <row r="704" spans="28:30">
      <c r="AB704" s="169">
        <v>0</v>
      </c>
      <c r="AC704" s="169">
        <v>0</v>
      </c>
      <c r="AD704" s="170">
        <v>0</v>
      </c>
    </row>
    <row r="705" spans="28:30">
      <c r="AB705" s="169">
        <v>0</v>
      </c>
      <c r="AC705" s="169">
        <v>0</v>
      </c>
      <c r="AD705" s="170">
        <v>0</v>
      </c>
    </row>
    <row r="706" spans="28:30">
      <c r="AB706" s="169">
        <v>0</v>
      </c>
      <c r="AC706" s="169">
        <v>0</v>
      </c>
      <c r="AD706" s="170">
        <v>0</v>
      </c>
    </row>
    <row r="707" spans="28:30">
      <c r="AB707" s="169">
        <v>0</v>
      </c>
      <c r="AC707" s="169">
        <v>0</v>
      </c>
      <c r="AD707" s="170">
        <v>0</v>
      </c>
    </row>
    <row r="708" spans="28:30">
      <c r="AB708" s="169">
        <v>0</v>
      </c>
      <c r="AC708" s="169">
        <v>0</v>
      </c>
      <c r="AD708" s="170">
        <v>0</v>
      </c>
    </row>
    <row r="709" spans="28:30">
      <c r="AB709" s="169">
        <v>0</v>
      </c>
      <c r="AC709" s="169">
        <v>0</v>
      </c>
      <c r="AD709" s="170">
        <v>0</v>
      </c>
    </row>
    <row r="710" spans="28:30">
      <c r="AB710" s="169">
        <v>0</v>
      </c>
      <c r="AC710" s="169">
        <v>0</v>
      </c>
      <c r="AD710" s="170">
        <v>0</v>
      </c>
    </row>
    <row r="711" spans="28:30">
      <c r="AB711" s="169">
        <v>0</v>
      </c>
      <c r="AC711" s="169">
        <v>0</v>
      </c>
      <c r="AD711" s="170">
        <v>0</v>
      </c>
    </row>
    <row r="712" spans="28:30">
      <c r="AB712" s="169">
        <v>0</v>
      </c>
      <c r="AC712" s="169">
        <v>0</v>
      </c>
      <c r="AD712" s="170">
        <v>0</v>
      </c>
    </row>
    <row r="713" spans="28:30">
      <c r="AB713" s="169">
        <v>0</v>
      </c>
      <c r="AC713" s="169">
        <v>0</v>
      </c>
      <c r="AD713" s="170">
        <v>0</v>
      </c>
    </row>
    <row r="714" spans="28:30">
      <c r="AB714" s="169">
        <v>0</v>
      </c>
      <c r="AC714" s="169">
        <v>0</v>
      </c>
      <c r="AD714" s="170">
        <v>0</v>
      </c>
    </row>
    <row r="715" spans="28:30">
      <c r="AB715" s="169">
        <v>0</v>
      </c>
      <c r="AC715" s="169">
        <v>0</v>
      </c>
      <c r="AD715" s="170">
        <v>0</v>
      </c>
    </row>
    <row r="716" spans="28:30">
      <c r="AB716" s="169">
        <v>0</v>
      </c>
      <c r="AC716" s="169">
        <v>0</v>
      </c>
      <c r="AD716" s="170">
        <v>0</v>
      </c>
    </row>
    <row r="717" spans="28:30">
      <c r="AB717" s="169">
        <v>0</v>
      </c>
      <c r="AC717" s="169">
        <v>0</v>
      </c>
      <c r="AD717" s="170">
        <v>0</v>
      </c>
    </row>
    <row r="718" spans="28:30">
      <c r="AB718" s="169">
        <v>0</v>
      </c>
      <c r="AC718" s="169">
        <v>0</v>
      </c>
      <c r="AD718" s="170">
        <v>0</v>
      </c>
    </row>
    <row r="719" spans="28:30">
      <c r="AB719" s="169">
        <v>0</v>
      </c>
      <c r="AC719" s="169">
        <v>0</v>
      </c>
      <c r="AD719" s="170">
        <v>0</v>
      </c>
    </row>
    <row r="720" spans="28:30">
      <c r="AB720" s="169">
        <v>0</v>
      </c>
      <c r="AC720" s="169">
        <v>0</v>
      </c>
      <c r="AD720" s="170">
        <v>0</v>
      </c>
    </row>
    <row r="721" spans="28:30">
      <c r="AB721" s="169">
        <v>0</v>
      </c>
      <c r="AC721" s="169">
        <v>0</v>
      </c>
      <c r="AD721" s="170">
        <v>0</v>
      </c>
    </row>
    <row r="722" spans="28:30">
      <c r="AB722" s="169">
        <v>0</v>
      </c>
      <c r="AC722" s="169">
        <v>0</v>
      </c>
      <c r="AD722" s="170">
        <v>0</v>
      </c>
    </row>
    <row r="723" spans="28:30">
      <c r="AB723" s="169">
        <v>0</v>
      </c>
      <c r="AC723" s="169">
        <v>0</v>
      </c>
      <c r="AD723" s="170">
        <v>0</v>
      </c>
    </row>
    <row r="724" spans="28:30">
      <c r="AB724" s="169">
        <v>0</v>
      </c>
      <c r="AC724" s="169">
        <v>0</v>
      </c>
      <c r="AD724" s="170">
        <v>0</v>
      </c>
    </row>
    <row r="725" spans="28:30">
      <c r="AB725" s="169">
        <v>0</v>
      </c>
      <c r="AC725" s="169">
        <v>0</v>
      </c>
      <c r="AD725" s="170">
        <v>0</v>
      </c>
    </row>
    <row r="726" spans="28:30">
      <c r="AB726" s="169">
        <v>0</v>
      </c>
      <c r="AC726" s="169">
        <v>0</v>
      </c>
      <c r="AD726" s="170">
        <v>0</v>
      </c>
    </row>
    <row r="727" spans="28:30">
      <c r="AB727" s="169">
        <v>0</v>
      </c>
      <c r="AC727" s="169">
        <v>0</v>
      </c>
      <c r="AD727" s="170">
        <v>0</v>
      </c>
    </row>
    <row r="728" spans="28:30">
      <c r="AB728" s="169">
        <v>0</v>
      </c>
      <c r="AC728" s="169">
        <v>0</v>
      </c>
      <c r="AD728" s="170">
        <v>0</v>
      </c>
    </row>
    <row r="729" spans="28:30">
      <c r="AB729" s="169">
        <v>0</v>
      </c>
      <c r="AC729" s="169">
        <v>0</v>
      </c>
      <c r="AD729" s="170">
        <v>0</v>
      </c>
    </row>
    <row r="730" spans="28:30">
      <c r="AB730" s="169">
        <v>0</v>
      </c>
      <c r="AC730" s="169">
        <v>0</v>
      </c>
      <c r="AD730" s="170">
        <v>0</v>
      </c>
    </row>
    <row r="731" spans="28:30">
      <c r="AB731" s="169">
        <v>0</v>
      </c>
      <c r="AC731" s="169">
        <v>0</v>
      </c>
      <c r="AD731" s="170">
        <v>0</v>
      </c>
    </row>
    <row r="732" spans="28:30">
      <c r="AB732" s="169">
        <v>0</v>
      </c>
      <c r="AC732" s="169">
        <v>0</v>
      </c>
      <c r="AD732" s="170">
        <v>0</v>
      </c>
    </row>
    <row r="733" spans="28:30">
      <c r="AB733" s="169">
        <v>0</v>
      </c>
      <c r="AC733" s="169">
        <v>0</v>
      </c>
      <c r="AD733" s="170">
        <v>0</v>
      </c>
    </row>
    <row r="734" spans="28:30">
      <c r="AB734" s="169">
        <v>0</v>
      </c>
      <c r="AC734" s="169">
        <v>0</v>
      </c>
      <c r="AD734" s="170">
        <v>0</v>
      </c>
    </row>
    <row r="735" spans="28:30">
      <c r="AB735" s="169">
        <v>0</v>
      </c>
      <c r="AC735" s="169">
        <v>0</v>
      </c>
      <c r="AD735" s="170">
        <v>0</v>
      </c>
    </row>
    <row r="736" spans="28:30">
      <c r="AB736" s="169">
        <v>0</v>
      </c>
      <c r="AC736" s="169">
        <v>0</v>
      </c>
      <c r="AD736" s="170">
        <v>0</v>
      </c>
    </row>
    <row r="737" spans="28:30">
      <c r="AB737" s="169">
        <v>0</v>
      </c>
      <c r="AC737" s="169">
        <v>0</v>
      </c>
      <c r="AD737" s="170">
        <v>0</v>
      </c>
    </row>
    <row r="738" spans="28:30">
      <c r="AB738" s="169">
        <v>0</v>
      </c>
      <c r="AC738" s="169">
        <v>0</v>
      </c>
      <c r="AD738" s="170">
        <v>0</v>
      </c>
    </row>
    <row r="739" spans="28:30">
      <c r="AB739" s="169">
        <v>0</v>
      </c>
      <c r="AC739" s="169">
        <v>0</v>
      </c>
      <c r="AD739" s="170">
        <v>0</v>
      </c>
    </row>
    <row r="740" spans="28:30">
      <c r="AB740" s="169">
        <v>0</v>
      </c>
      <c r="AC740" s="169">
        <v>0</v>
      </c>
      <c r="AD740" s="170">
        <v>0</v>
      </c>
    </row>
    <row r="741" spans="28:30">
      <c r="AB741" s="169">
        <v>0</v>
      </c>
      <c r="AC741" s="169">
        <v>0</v>
      </c>
      <c r="AD741" s="170">
        <v>0</v>
      </c>
    </row>
    <row r="742" spans="28:30">
      <c r="AB742" s="169">
        <v>0</v>
      </c>
      <c r="AC742" s="169">
        <v>0</v>
      </c>
      <c r="AD742" s="170">
        <v>0</v>
      </c>
    </row>
    <row r="743" spans="28:30">
      <c r="AB743" s="169">
        <v>0</v>
      </c>
      <c r="AC743" s="169">
        <v>0</v>
      </c>
      <c r="AD743" s="170">
        <v>0</v>
      </c>
    </row>
    <row r="744" spans="28:30">
      <c r="AB744" s="169">
        <v>0</v>
      </c>
      <c r="AC744" s="169">
        <v>0</v>
      </c>
      <c r="AD744" s="170">
        <v>0</v>
      </c>
    </row>
    <row r="745" spans="28:30">
      <c r="AB745" s="169">
        <v>0</v>
      </c>
      <c r="AC745" s="169">
        <v>0</v>
      </c>
      <c r="AD745" s="170">
        <v>0</v>
      </c>
    </row>
    <row r="746" spans="28:30">
      <c r="AB746" s="169">
        <v>0</v>
      </c>
      <c r="AC746" s="169">
        <v>0</v>
      </c>
      <c r="AD746" s="170">
        <v>0</v>
      </c>
    </row>
    <row r="747" spans="28:30">
      <c r="AB747" s="169">
        <v>0</v>
      </c>
      <c r="AC747" s="169">
        <v>0</v>
      </c>
      <c r="AD747" s="170">
        <v>0</v>
      </c>
    </row>
    <row r="748" spans="28:30">
      <c r="AB748" s="169">
        <v>0</v>
      </c>
      <c r="AC748" s="169">
        <v>0</v>
      </c>
      <c r="AD748" s="170">
        <v>0</v>
      </c>
    </row>
    <row r="749" spans="28:30">
      <c r="AB749" s="169">
        <v>0</v>
      </c>
      <c r="AC749" s="169">
        <v>0</v>
      </c>
      <c r="AD749" s="170">
        <v>0</v>
      </c>
    </row>
    <row r="750" spans="28:30">
      <c r="AB750" s="169">
        <v>0</v>
      </c>
      <c r="AC750" s="169">
        <v>0</v>
      </c>
      <c r="AD750" s="170">
        <v>0</v>
      </c>
    </row>
    <row r="751" spans="28:30">
      <c r="AB751" s="169">
        <v>0</v>
      </c>
      <c r="AC751" s="169">
        <v>0</v>
      </c>
      <c r="AD751" s="170">
        <v>0</v>
      </c>
    </row>
    <row r="752" spans="28:30">
      <c r="AB752" s="169">
        <v>0</v>
      </c>
      <c r="AC752" s="169">
        <v>0</v>
      </c>
      <c r="AD752" s="170">
        <v>0</v>
      </c>
    </row>
    <row r="753" spans="28:30">
      <c r="AB753" s="169">
        <v>0</v>
      </c>
      <c r="AC753" s="169">
        <v>0</v>
      </c>
      <c r="AD753" s="170">
        <v>0</v>
      </c>
    </row>
    <row r="754" spans="28:30">
      <c r="AB754" s="169">
        <v>0</v>
      </c>
      <c r="AC754" s="169">
        <v>0</v>
      </c>
      <c r="AD754" s="170">
        <v>0</v>
      </c>
    </row>
    <row r="755" spans="28:30">
      <c r="AB755" s="169">
        <v>0</v>
      </c>
      <c r="AC755" s="169">
        <v>0</v>
      </c>
      <c r="AD755" s="170">
        <v>0</v>
      </c>
    </row>
    <row r="756" spans="28:30">
      <c r="AB756" s="169">
        <v>0</v>
      </c>
      <c r="AC756" s="169">
        <v>0</v>
      </c>
      <c r="AD756" s="170">
        <v>0</v>
      </c>
    </row>
    <row r="757" spans="28:30">
      <c r="AB757" s="169">
        <v>0</v>
      </c>
      <c r="AC757" s="169">
        <v>0</v>
      </c>
      <c r="AD757" s="170">
        <v>0</v>
      </c>
    </row>
    <row r="758" spans="28:30">
      <c r="AB758" s="169">
        <v>0</v>
      </c>
      <c r="AC758" s="169">
        <v>0</v>
      </c>
      <c r="AD758" s="170">
        <v>0</v>
      </c>
    </row>
    <row r="759" spans="28:30">
      <c r="AB759" s="169">
        <v>0</v>
      </c>
      <c r="AC759" s="169">
        <v>0</v>
      </c>
      <c r="AD759" s="170">
        <v>0</v>
      </c>
    </row>
    <row r="760" spans="28:30">
      <c r="AB760" s="169">
        <v>0</v>
      </c>
      <c r="AC760" s="169">
        <v>0</v>
      </c>
      <c r="AD760" s="170">
        <v>0</v>
      </c>
    </row>
    <row r="761" spans="28:30">
      <c r="AB761" s="169">
        <v>0</v>
      </c>
      <c r="AC761" s="169">
        <v>0</v>
      </c>
      <c r="AD761" s="170">
        <v>0</v>
      </c>
    </row>
    <row r="762" spans="28:30">
      <c r="AB762" s="169">
        <v>0</v>
      </c>
      <c r="AC762" s="169">
        <v>0</v>
      </c>
      <c r="AD762" s="170">
        <v>0</v>
      </c>
    </row>
    <row r="763" spans="28:30">
      <c r="AB763" s="169">
        <v>0</v>
      </c>
      <c r="AC763" s="169">
        <v>0</v>
      </c>
      <c r="AD763" s="170">
        <v>0</v>
      </c>
    </row>
    <row r="764" spans="28:30">
      <c r="AB764" s="169">
        <v>0</v>
      </c>
      <c r="AC764" s="169">
        <v>0</v>
      </c>
      <c r="AD764" s="170">
        <v>0</v>
      </c>
    </row>
    <row r="765" spans="28:30">
      <c r="AB765" s="169">
        <v>0</v>
      </c>
      <c r="AC765" s="169">
        <v>0</v>
      </c>
      <c r="AD765" s="170">
        <v>0</v>
      </c>
    </row>
    <row r="766" spans="28:30">
      <c r="AB766" s="169">
        <v>0</v>
      </c>
      <c r="AC766" s="169">
        <v>0</v>
      </c>
      <c r="AD766" s="170">
        <v>0</v>
      </c>
    </row>
    <row r="767" spans="28:30">
      <c r="AB767" s="169">
        <v>0</v>
      </c>
      <c r="AC767" s="169">
        <v>0</v>
      </c>
      <c r="AD767" s="170">
        <v>0</v>
      </c>
    </row>
    <row r="768" spans="28:30">
      <c r="AB768" s="169">
        <v>0</v>
      </c>
      <c r="AC768" s="169">
        <v>0</v>
      </c>
      <c r="AD768" s="170">
        <v>0</v>
      </c>
    </row>
    <row r="769" spans="28:30">
      <c r="AB769" s="169">
        <v>0</v>
      </c>
      <c r="AC769" s="169">
        <v>0</v>
      </c>
      <c r="AD769" s="170">
        <v>0</v>
      </c>
    </row>
    <row r="770" spans="28:30">
      <c r="AB770" s="169">
        <v>0</v>
      </c>
      <c r="AC770" s="169">
        <v>0</v>
      </c>
      <c r="AD770" s="170">
        <v>0</v>
      </c>
    </row>
    <row r="771" spans="28:30">
      <c r="AB771" s="169">
        <v>0</v>
      </c>
      <c r="AC771" s="169">
        <v>0</v>
      </c>
      <c r="AD771" s="170">
        <v>0</v>
      </c>
    </row>
    <row r="772" spans="28:30">
      <c r="AB772" s="169">
        <v>0</v>
      </c>
      <c r="AC772" s="169">
        <v>0</v>
      </c>
      <c r="AD772" s="170">
        <v>0</v>
      </c>
    </row>
    <row r="773" spans="28:30">
      <c r="AB773" s="169">
        <v>0</v>
      </c>
      <c r="AC773" s="169">
        <v>0</v>
      </c>
      <c r="AD773" s="170">
        <v>0</v>
      </c>
    </row>
    <row r="774" spans="28:30">
      <c r="AB774" s="169">
        <v>0</v>
      </c>
      <c r="AC774" s="169">
        <v>0</v>
      </c>
      <c r="AD774" s="170">
        <v>0</v>
      </c>
    </row>
    <row r="775" spans="28:30">
      <c r="AB775" s="169">
        <v>0</v>
      </c>
      <c r="AC775" s="169">
        <v>0</v>
      </c>
      <c r="AD775" s="170">
        <v>0</v>
      </c>
    </row>
    <row r="776" spans="28:30">
      <c r="AB776" s="169">
        <v>0</v>
      </c>
      <c r="AC776" s="169">
        <v>0</v>
      </c>
      <c r="AD776" s="170">
        <v>0</v>
      </c>
    </row>
    <row r="777" spans="28:30">
      <c r="AB777" s="169">
        <v>0</v>
      </c>
      <c r="AC777" s="169">
        <v>0</v>
      </c>
      <c r="AD777" s="170">
        <v>0</v>
      </c>
    </row>
    <row r="778" spans="28:30">
      <c r="AB778" s="169">
        <v>0</v>
      </c>
      <c r="AC778" s="169">
        <v>0</v>
      </c>
      <c r="AD778" s="170">
        <v>0</v>
      </c>
    </row>
    <row r="779" spans="28:30">
      <c r="AB779" s="169">
        <v>0</v>
      </c>
      <c r="AC779" s="169">
        <v>0</v>
      </c>
      <c r="AD779" s="170">
        <v>0</v>
      </c>
    </row>
    <row r="780" spans="28:30">
      <c r="AB780" s="169">
        <v>0</v>
      </c>
      <c r="AC780" s="169">
        <v>0</v>
      </c>
      <c r="AD780" s="170">
        <v>0</v>
      </c>
    </row>
    <row r="781" spans="28:30">
      <c r="AB781" s="169">
        <v>0</v>
      </c>
      <c r="AC781" s="169">
        <v>0</v>
      </c>
      <c r="AD781" s="170">
        <v>0</v>
      </c>
    </row>
    <row r="782" spans="28:30">
      <c r="AB782" s="169">
        <v>0</v>
      </c>
      <c r="AC782" s="169">
        <v>0</v>
      </c>
      <c r="AD782" s="170">
        <v>0</v>
      </c>
    </row>
    <row r="783" spans="28:30">
      <c r="AB783" s="169">
        <v>0</v>
      </c>
      <c r="AC783" s="169">
        <v>0</v>
      </c>
      <c r="AD783" s="170">
        <v>0</v>
      </c>
    </row>
    <row r="784" spans="28:30">
      <c r="AB784" s="169">
        <v>0</v>
      </c>
      <c r="AC784" s="169">
        <v>0</v>
      </c>
      <c r="AD784" s="170">
        <v>0</v>
      </c>
    </row>
    <row r="785" spans="28:30">
      <c r="AB785" s="169">
        <v>0</v>
      </c>
      <c r="AC785" s="169">
        <v>0</v>
      </c>
      <c r="AD785" s="170">
        <v>0</v>
      </c>
    </row>
    <row r="786" spans="28:30">
      <c r="AB786" s="169">
        <v>0</v>
      </c>
      <c r="AC786" s="169">
        <v>0</v>
      </c>
      <c r="AD786" s="170">
        <v>0</v>
      </c>
    </row>
    <row r="787" spans="28:30">
      <c r="AB787" s="169">
        <v>0</v>
      </c>
      <c r="AC787" s="169">
        <v>0</v>
      </c>
      <c r="AD787" s="170">
        <v>0</v>
      </c>
    </row>
    <row r="788" spans="28:30">
      <c r="AB788" s="169">
        <v>0</v>
      </c>
      <c r="AC788" s="169">
        <v>0</v>
      </c>
      <c r="AD788" s="170">
        <v>0</v>
      </c>
    </row>
    <row r="789" spans="28:30">
      <c r="AB789" s="169">
        <v>0</v>
      </c>
      <c r="AC789" s="169">
        <v>0</v>
      </c>
      <c r="AD789" s="170">
        <v>0</v>
      </c>
    </row>
    <row r="790" spans="28:30">
      <c r="AB790" s="169">
        <v>0</v>
      </c>
      <c r="AC790" s="169">
        <v>0</v>
      </c>
      <c r="AD790" s="170">
        <v>0</v>
      </c>
    </row>
    <row r="791" spans="28:30">
      <c r="AB791" s="169">
        <v>0</v>
      </c>
      <c r="AC791" s="169">
        <v>0</v>
      </c>
      <c r="AD791" s="170">
        <v>0</v>
      </c>
    </row>
    <row r="792" spans="28:30">
      <c r="AB792" s="169">
        <v>0</v>
      </c>
      <c r="AC792" s="169">
        <v>0</v>
      </c>
      <c r="AD792" s="170">
        <v>0</v>
      </c>
    </row>
    <row r="793" spans="28:30">
      <c r="AB793" s="169">
        <v>0</v>
      </c>
      <c r="AC793" s="169">
        <v>0</v>
      </c>
      <c r="AD793" s="170">
        <v>0</v>
      </c>
    </row>
    <row r="794" spans="28:30">
      <c r="AB794" s="169">
        <v>0</v>
      </c>
      <c r="AC794" s="169">
        <v>0</v>
      </c>
      <c r="AD794" s="170">
        <v>0</v>
      </c>
    </row>
    <row r="795" spans="28:30">
      <c r="AB795" s="169">
        <v>0</v>
      </c>
      <c r="AC795" s="169">
        <v>0</v>
      </c>
      <c r="AD795" s="170">
        <v>0</v>
      </c>
    </row>
    <row r="796" spans="28:30">
      <c r="AB796" s="169">
        <v>0</v>
      </c>
      <c r="AC796" s="169">
        <v>0</v>
      </c>
      <c r="AD796" s="170">
        <v>0</v>
      </c>
    </row>
    <row r="797" spans="28:30">
      <c r="AB797" s="169">
        <v>0</v>
      </c>
      <c r="AC797" s="169">
        <v>0</v>
      </c>
      <c r="AD797" s="170">
        <v>0</v>
      </c>
    </row>
    <row r="798" spans="28:30">
      <c r="AB798" s="169">
        <v>0</v>
      </c>
      <c r="AC798" s="169">
        <v>0</v>
      </c>
      <c r="AD798" s="170">
        <v>0</v>
      </c>
    </row>
    <row r="799" spans="28:30">
      <c r="AB799" s="169">
        <v>0</v>
      </c>
      <c r="AC799" s="169">
        <v>0</v>
      </c>
      <c r="AD799" s="170">
        <v>0</v>
      </c>
    </row>
    <row r="800" spans="28:30">
      <c r="AB800" s="169">
        <v>0</v>
      </c>
      <c r="AC800" s="169">
        <v>0</v>
      </c>
      <c r="AD800" s="170">
        <v>0</v>
      </c>
    </row>
    <row r="801" spans="28:30">
      <c r="AB801" s="169">
        <v>0</v>
      </c>
      <c r="AC801" s="169">
        <v>0</v>
      </c>
      <c r="AD801" s="170">
        <v>0</v>
      </c>
    </row>
    <row r="802" spans="28:30">
      <c r="AB802" s="169">
        <v>0</v>
      </c>
      <c r="AC802" s="169">
        <v>0</v>
      </c>
      <c r="AD802" s="170">
        <v>0</v>
      </c>
    </row>
    <row r="803" spans="28:30">
      <c r="AB803" s="169">
        <v>0</v>
      </c>
      <c r="AC803" s="169">
        <v>0</v>
      </c>
      <c r="AD803" s="170">
        <v>0</v>
      </c>
    </row>
    <row r="804" spans="28:30">
      <c r="AB804" s="169">
        <v>0</v>
      </c>
      <c r="AC804" s="169">
        <v>0</v>
      </c>
      <c r="AD804" s="170">
        <v>0</v>
      </c>
    </row>
    <row r="805" spans="28:30">
      <c r="AB805" s="169">
        <v>0</v>
      </c>
      <c r="AC805" s="169">
        <v>0</v>
      </c>
      <c r="AD805" s="170">
        <v>0</v>
      </c>
    </row>
    <row r="806" spans="28:30">
      <c r="AB806" s="169">
        <v>0</v>
      </c>
      <c r="AC806" s="169">
        <v>0</v>
      </c>
      <c r="AD806" s="170">
        <v>0</v>
      </c>
    </row>
    <row r="807" spans="28:30">
      <c r="AB807" s="169">
        <v>0</v>
      </c>
      <c r="AC807" s="169">
        <v>0</v>
      </c>
      <c r="AD807" s="170">
        <v>0</v>
      </c>
    </row>
    <row r="808" spans="28:30">
      <c r="AB808" s="169">
        <v>0</v>
      </c>
      <c r="AC808" s="169">
        <v>0</v>
      </c>
      <c r="AD808" s="170">
        <v>0</v>
      </c>
    </row>
    <row r="809" spans="28:30">
      <c r="AB809" s="169">
        <v>0</v>
      </c>
      <c r="AC809" s="169">
        <v>0</v>
      </c>
      <c r="AD809" s="170">
        <v>0</v>
      </c>
    </row>
    <row r="810" spans="28:30">
      <c r="AB810" s="169">
        <v>0</v>
      </c>
      <c r="AC810" s="169">
        <v>0</v>
      </c>
      <c r="AD810" s="170">
        <v>0</v>
      </c>
    </row>
    <row r="811" spans="28:30">
      <c r="AB811" s="169">
        <v>0</v>
      </c>
      <c r="AC811" s="169">
        <v>0</v>
      </c>
      <c r="AD811" s="170">
        <v>0</v>
      </c>
    </row>
    <row r="812" spans="28:30">
      <c r="AB812" s="169">
        <v>0</v>
      </c>
      <c r="AC812" s="169">
        <v>0</v>
      </c>
      <c r="AD812" s="170">
        <v>0</v>
      </c>
    </row>
    <row r="813" spans="28:30">
      <c r="AB813" s="169">
        <v>0</v>
      </c>
      <c r="AC813" s="169">
        <v>0</v>
      </c>
      <c r="AD813" s="170">
        <v>0</v>
      </c>
    </row>
    <row r="814" spans="28:30">
      <c r="AB814" s="169">
        <v>0</v>
      </c>
      <c r="AC814" s="169">
        <v>0</v>
      </c>
      <c r="AD814" s="170">
        <v>0</v>
      </c>
    </row>
    <row r="815" spans="28:30">
      <c r="AB815" s="169">
        <v>0</v>
      </c>
      <c r="AC815" s="169">
        <v>0</v>
      </c>
      <c r="AD815" s="170">
        <v>0</v>
      </c>
    </row>
    <row r="816" spans="28:30">
      <c r="AB816" s="169">
        <v>0</v>
      </c>
      <c r="AC816" s="169">
        <v>0</v>
      </c>
      <c r="AD816" s="170">
        <v>0</v>
      </c>
    </row>
    <row r="817" spans="28:30">
      <c r="AB817" s="169">
        <v>0</v>
      </c>
      <c r="AC817" s="169">
        <v>0</v>
      </c>
      <c r="AD817" s="170">
        <v>0</v>
      </c>
    </row>
    <row r="818" spans="28:30">
      <c r="AB818" s="169">
        <v>0</v>
      </c>
      <c r="AC818" s="169">
        <v>0</v>
      </c>
      <c r="AD818" s="170">
        <v>0</v>
      </c>
    </row>
    <row r="819" spans="28:30">
      <c r="AB819" s="169">
        <v>0</v>
      </c>
      <c r="AC819" s="169">
        <v>0</v>
      </c>
      <c r="AD819" s="170">
        <v>0</v>
      </c>
    </row>
    <row r="820" spans="28:30">
      <c r="AB820" s="169">
        <v>0</v>
      </c>
      <c r="AC820" s="169">
        <v>0</v>
      </c>
      <c r="AD820" s="170">
        <v>0</v>
      </c>
    </row>
    <row r="821" spans="28:30">
      <c r="AB821" s="169">
        <v>0</v>
      </c>
      <c r="AC821" s="169">
        <v>0</v>
      </c>
      <c r="AD821" s="170">
        <v>0</v>
      </c>
    </row>
    <row r="822" spans="28:30">
      <c r="AB822" s="169">
        <v>0</v>
      </c>
      <c r="AC822" s="169">
        <v>0</v>
      </c>
      <c r="AD822" s="170">
        <v>0</v>
      </c>
    </row>
    <row r="823" spans="28:30">
      <c r="AB823" s="169">
        <v>0</v>
      </c>
      <c r="AC823" s="169">
        <v>0</v>
      </c>
      <c r="AD823" s="170">
        <v>0</v>
      </c>
    </row>
    <row r="824" spans="28:30">
      <c r="AB824" s="169">
        <v>0</v>
      </c>
      <c r="AC824" s="169">
        <v>0</v>
      </c>
      <c r="AD824" s="170">
        <v>0</v>
      </c>
    </row>
    <row r="825" spans="28:30">
      <c r="AB825" s="169">
        <v>0</v>
      </c>
      <c r="AC825" s="169">
        <v>0</v>
      </c>
      <c r="AD825" s="170">
        <v>0</v>
      </c>
    </row>
    <row r="826" spans="28:30">
      <c r="AB826" s="169">
        <v>0</v>
      </c>
      <c r="AC826" s="169">
        <v>0</v>
      </c>
      <c r="AD826" s="170">
        <v>0</v>
      </c>
    </row>
    <row r="827" spans="28:30">
      <c r="AB827" s="169">
        <v>0</v>
      </c>
      <c r="AC827" s="169">
        <v>0</v>
      </c>
      <c r="AD827" s="170">
        <v>0</v>
      </c>
    </row>
    <row r="828" spans="28:30">
      <c r="AB828" s="169">
        <v>0</v>
      </c>
      <c r="AC828" s="169">
        <v>0</v>
      </c>
      <c r="AD828" s="170">
        <v>0</v>
      </c>
    </row>
    <row r="829" spans="28:30">
      <c r="AB829" s="169">
        <v>0</v>
      </c>
      <c r="AC829" s="169">
        <v>0</v>
      </c>
      <c r="AD829" s="170">
        <v>0</v>
      </c>
    </row>
    <row r="830" spans="28:30">
      <c r="AB830" s="169">
        <v>0</v>
      </c>
      <c r="AC830" s="169">
        <v>0</v>
      </c>
      <c r="AD830" s="170">
        <v>0</v>
      </c>
    </row>
    <row r="831" spans="28:30">
      <c r="AB831" s="169">
        <v>0</v>
      </c>
      <c r="AC831" s="169">
        <v>0</v>
      </c>
      <c r="AD831" s="170">
        <v>0</v>
      </c>
    </row>
    <row r="832" spans="28:30">
      <c r="AB832" s="169">
        <v>0</v>
      </c>
      <c r="AC832" s="169">
        <v>0</v>
      </c>
      <c r="AD832" s="170">
        <v>0</v>
      </c>
    </row>
    <row r="833" spans="28:30">
      <c r="AB833" s="169">
        <v>0</v>
      </c>
      <c r="AC833" s="169">
        <v>0</v>
      </c>
      <c r="AD833" s="170">
        <v>0</v>
      </c>
    </row>
    <row r="834" spans="28:30">
      <c r="AB834" s="169">
        <v>0</v>
      </c>
      <c r="AC834" s="169">
        <v>0</v>
      </c>
      <c r="AD834" s="170">
        <v>0</v>
      </c>
    </row>
    <row r="835" spans="28:30">
      <c r="AB835" s="169">
        <v>0</v>
      </c>
      <c r="AC835" s="169">
        <v>0</v>
      </c>
      <c r="AD835" s="170">
        <v>0</v>
      </c>
    </row>
    <row r="836" spans="28:30">
      <c r="AB836" s="169">
        <v>0</v>
      </c>
      <c r="AC836" s="169">
        <v>0</v>
      </c>
      <c r="AD836" s="170">
        <v>0</v>
      </c>
    </row>
    <row r="837" spans="28:30">
      <c r="AB837" s="169">
        <v>0</v>
      </c>
      <c r="AC837" s="169">
        <v>0</v>
      </c>
      <c r="AD837" s="170">
        <v>0</v>
      </c>
    </row>
    <row r="838" spans="28:30">
      <c r="AB838" s="169">
        <v>0</v>
      </c>
      <c r="AC838" s="169">
        <v>0</v>
      </c>
      <c r="AD838" s="170">
        <v>0</v>
      </c>
    </row>
    <row r="839" spans="28:30">
      <c r="AB839" s="169">
        <v>0</v>
      </c>
      <c r="AC839" s="169">
        <v>0</v>
      </c>
      <c r="AD839" s="170">
        <v>0</v>
      </c>
    </row>
    <row r="840" spans="28:30">
      <c r="AB840" s="169">
        <v>0</v>
      </c>
      <c r="AC840" s="169">
        <v>0</v>
      </c>
      <c r="AD840" s="170">
        <v>0</v>
      </c>
    </row>
    <row r="841" spans="28:30">
      <c r="AB841" s="169">
        <v>0</v>
      </c>
      <c r="AC841" s="169">
        <v>0</v>
      </c>
      <c r="AD841" s="170">
        <v>0</v>
      </c>
    </row>
    <row r="842" spans="28:30">
      <c r="AB842" s="169">
        <v>0</v>
      </c>
      <c r="AC842" s="169">
        <v>0</v>
      </c>
      <c r="AD842" s="170">
        <v>0</v>
      </c>
    </row>
    <row r="843" spans="28:30">
      <c r="AB843" s="169">
        <v>0</v>
      </c>
      <c r="AC843" s="169">
        <v>0</v>
      </c>
      <c r="AD843" s="170">
        <v>0</v>
      </c>
    </row>
    <row r="844" spans="28:30">
      <c r="AB844" s="169">
        <v>0</v>
      </c>
      <c r="AC844" s="169">
        <v>0</v>
      </c>
      <c r="AD844" s="170">
        <v>0</v>
      </c>
    </row>
    <row r="845" spans="28:30">
      <c r="AB845" s="169">
        <v>0</v>
      </c>
      <c r="AC845" s="169">
        <v>0</v>
      </c>
      <c r="AD845" s="170">
        <v>0</v>
      </c>
    </row>
    <row r="846" spans="28:30">
      <c r="AB846" s="169">
        <v>0</v>
      </c>
      <c r="AC846" s="169">
        <v>0</v>
      </c>
      <c r="AD846" s="170">
        <v>0</v>
      </c>
    </row>
    <row r="847" spans="28:30">
      <c r="AB847" s="169">
        <v>0</v>
      </c>
      <c r="AC847" s="169">
        <v>0</v>
      </c>
      <c r="AD847" s="170">
        <v>0</v>
      </c>
    </row>
    <row r="848" spans="28:30">
      <c r="AB848" s="169">
        <v>0</v>
      </c>
      <c r="AC848" s="169">
        <v>0</v>
      </c>
      <c r="AD848" s="170">
        <v>0</v>
      </c>
    </row>
    <row r="849" spans="28:30">
      <c r="AB849" s="169">
        <v>0</v>
      </c>
      <c r="AC849" s="169">
        <v>0</v>
      </c>
      <c r="AD849" s="170">
        <v>0</v>
      </c>
    </row>
    <row r="850" spans="28:30">
      <c r="AB850" s="169">
        <v>0</v>
      </c>
      <c r="AC850" s="169">
        <v>0</v>
      </c>
      <c r="AD850" s="170">
        <v>0</v>
      </c>
    </row>
    <row r="851" spans="28:30">
      <c r="AB851" s="169">
        <v>0</v>
      </c>
      <c r="AC851" s="169">
        <v>0</v>
      </c>
      <c r="AD851" s="170">
        <v>0</v>
      </c>
    </row>
    <row r="852" spans="28:30">
      <c r="AB852" s="169">
        <v>0</v>
      </c>
      <c r="AC852" s="169">
        <v>0</v>
      </c>
      <c r="AD852" s="170">
        <v>0</v>
      </c>
    </row>
    <row r="853" spans="28:30">
      <c r="AB853" s="169">
        <v>0</v>
      </c>
      <c r="AC853" s="169">
        <v>0</v>
      </c>
      <c r="AD853" s="170">
        <v>0</v>
      </c>
    </row>
    <row r="854" spans="28:30">
      <c r="AB854" s="169">
        <v>0</v>
      </c>
      <c r="AC854" s="169">
        <v>0</v>
      </c>
      <c r="AD854" s="170">
        <v>0</v>
      </c>
    </row>
    <row r="855" spans="28:30">
      <c r="AB855" s="169">
        <v>0</v>
      </c>
      <c r="AC855" s="169">
        <v>0</v>
      </c>
      <c r="AD855" s="170">
        <v>0</v>
      </c>
    </row>
    <row r="856" spans="28:30">
      <c r="AB856" s="169">
        <v>0</v>
      </c>
      <c r="AC856" s="169">
        <v>0</v>
      </c>
      <c r="AD856" s="170">
        <v>0</v>
      </c>
    </row>
    <row r="857" spans="28:30">
      <c r="AB857" s="169">
        <v>0</v>
      </c>
      <c r="AC857" s="169">
        <v>0</v>
      </c>
      <c r="AD857" s="170">
        <v>0</v>
      </c>
    </row>
    <row r="858" spans="28:30">
      <c r="AB858" s="169">
        <v>0</v>
      </c>
      <c r="AC858" s="169">
        <v>0</v>
      </c>
      <c r="AD858" s="170">
        <v>0</v>
      </c>
    </row>
    <row r="859" spans="28:30">
      <c r="AB859" s="169">
        <v>0</v>
      </c>
      <c r="AC859" s="169">
        <v>0</v>
      </c>
      <c r="AD859" s="170">
        <v>0</v>
      </c>
    </row>
    <row r="860" spans="28:30">
      <c r="AB860" s="169">
        <v>0</v>
      </c>
      <c r="AC860" s="169">
        <v>0</v>
      </c>
      <c r="AD860" s="170">
        <v>0</v>
      </c>
    </row>
    <row r="861" spans="28:30">
      <c r="AB861" s="169">
        <v>0</v>
      </c>
      <c r="AC861" s="169">
        <v>0</v>
      </c>
      <c r="AD861" s="170">
        <v>0</v>
      </c>
    </row>
    <row r="862" spans="28:30">
      <c r="AB862" s="169">
        <v>0</v>
      </c>
      <c r="AC862" s="169">
        <v>0</v>
      </c>
      <c r="AD862" s="170">
        <v>0</v>
      </c>
    </row>
    <row r="863" spans="28:30">
      <c r="AB863" s="169">
        <v>0</v>
      </c>
      <c r="AC863" s="169">
        <v>0</v>
      </c>
      <c r="AD863" s="170">
        <v>0</v>
      </c>
    </row>
    <row r="864" spans="28:30">
      <c r="AB864" s="169">
        <v>0</v>
      </c>
      <c r="AC864" s="169">
        <v>0</v>
      </c>
      <c r="AD864" s="170">
        <v>0</v>
      </c>
    </row>
    <row r="865" spans="28:30">
      <c r="AB865" s="169">
        <v>0</v>
      </c>
      <c r="AC865" s="169">
        <v>0</v>
      </c>
      <c r="AD865" s="170">
        <v>0</v>
      </c>
    </row>
    <row r="866" spans="28:30">
      <c r="AB866" s="169">
        <v>0</v>
      </c>
      <c r="AC866" s="169">
        <v>0</v>
      </c>
      <c r="AD866" s="170">
        <v>0</v>
      </c>
    </row>
    <row r="867" spans="28:30">
      <c r="AB867" s="169">
        <v>0</v>
      </c>
      <c r="AC867" s="169">
        <v>0</v>
      </c>
      <c r="AD867" s="170">
        <v>0</v>
      </c>
    </row>
    <row r="868" spans="28:30">
      <c r="AB868" s="169">
        <v>0</v>
      </c>
      <c r="AC868" s="169">
        <v>0</v>
      </c>
      <c r="AD868" s="170">
        <v>0</v>
      </c>
    </row>
    <row r="869" spans="28:30">
      <c r="AB869" s="169">
        <v>0</v>
      </c>
      <c r="AC869" s="169">
        <v>0</v>
      </c>
      <c r="AD869" s="170">
        <v>0</v>
      </c>
    </row>
    <row r="870" spans="28:30">
      <c r="AB870" s="169">
        <v>0</v>
      </c>
      <c r="AC870" s="169">
        <v>0</v>
      </c>
      <c r="AD870" s="170">
        <v>0</v>
      </c>
    </row>
    <row r="871" spans="28:30">
      <c r="AB871" s="169">
        <v>0</v>
      </c>
      <c r="AC871" s="169">
        <v>0</v>
      </c>
      <c r="AD871" s="170">
        <v>0</v>
      </c>
    </row>
    <row r="872" spans="28:30">
      <c r="AB872" s="169">
        <v>0</v>
      </c>
      <c r="AC872" s="169">
        <v>0</v>
      </c>
      <c r="AD872" s="170">
        <v>0</v>
      </c>
    </row>
    <row r="873" spans="28:30">
      <c r="AB873" s="169">
        <v>0</v>
      </c>
      <c r="AC873" s="169">
        <v>0</v>
      </c>
      <c r="AD873" s="170">
        <v>0</v>
      </c>
    </row>
    <row r="874" spans="28:30">
      <c r="AB874" s="169">
        <v>0</v>
      </c>
      <c r="AC874" s="169">
        <v>0</v>
      </c>
      <c r="AD874" s="170">
        <v>0</v>
      </c>
    </row>
    <row r="875" spans="28:30">
      <c r="AB875" s="169">
        <v>0</v>
      </c>
      <c r="AC875" s="169">
        <v>0</v>
      </c>
      <c r="AD875" s="170">
        <v>0</v>
      </c>
    </row>
    <row r="876" spans="28:30">
      <c r="AB876" s="169">
        <v>0</v>
      </c>
      <c r="AC876" s="169">
        <v>0</v>
      </c>
      <c r="AD876" s="170">
        <v>0</v>
      </c>
    </row>
    <row r="877" spans="28:30">
      <c r="AB877" s="169">
        <v>0</v>
      </c>
      <c r="AC877" s="169">
        <v>0</v>
      </c>
      <c r="AD877" s="170">
        <v>0</v>
      </c>
    </row>
    <row r="878" spans="28:30">
      <c r="AB878" s="169">
        <v>0</v>
      </c>
      <c r="AC878" s="169">
        <v>0</v>
      </c>
      <c r="AD878" s="170">
        <v>0</v>
      </c>
    </row>
    <row r="879" spans="28:30">
      <c r="AB879" s="169">
        <v>0</v>
      </c>
      <c r="AC879" s="169">
        <v>0</v>
      </c>
      <c r="AD879" s="170">
        <v>0</v>
      </c>
    </row>
    <row r="880" spans="28:30">
      <c r="AB880" s="169">
        <v>0</v>
      </c>
      <c r="AC880" s="169">
        <v>0</v>
      </c>
      <c r="AD880" s="170">
        <v>0</v>
      </c>
    </row>
    <row r="881" spans="28:30">
      <c r="AB881" s="169">
        <v>0</v>
      </c>
      <c r="AC881" s="169">
        <v>0</v>
      </c>
      <c r="AD881" s="170">
        <v>0</v>
      </c>
    </row>
    <row r="882" spans="28:30">
      <c r="AB882" s="169">
        <v>0</v>
      </c>
      <c r="AC882" s="169">
        <v>0</v>
      </c>
      <c r="AD882" s="170">
        <v>0</v>
      </c>
    </row>
    <row r="883" spans="28:30">
      <c r="AB883" s="169">
        <v>0</v>
      </c>
      <c r="AC883" s="169">
        <v>0</v>
      </c>
      <c r="AD883" s="170">
        <v>0</v>
      </c>
    </row>
    <row r="884" spans="28:30">
      <c r="AB884" s="169">
        <v>0</v>
      </c>
      <c r="AC884" s="169">
        <v>0</v>
      </c>
      <c r="AD884" s="170">
        <v>0</v>
      </c>
    </row>
    <row r="885" spans="28:30">
      <c r="AB885" s="169">
        <v>0</v>
      </c>
      <c r="AC885" s="169">
        <v>0</v>
      </c>
      <c r="AD885" s="170">
        <v>0</v>
      </c>
    </row>
    <row r="886" spans="28:30">
      <c r="AB886" s="169">
        <v>0</v>
      </c>
      <c r="AC886" s="169">
        <v>0</v>
      </c>
      <c r="AD886" s="170">
        <v>0</v>
      </c>
    </row>
    <row r="887" spans="28:30">
      <c r="AB887" s="169">
        <v>0</v>
      </c>
      <c r="AC887" s="169">
        <v>0</v>
      </c>
      <c r="AD887" s="170">
        <v>0</v>
      </c>
    </row>
    <row r="888" spans="28:30">
      <c r="AB888" s="169">
        <v>0</v>
      </c>
      <c r="AC888" s="169">
        <v>0</v>
      </c>
      <c r="AD888" s="170">
        <v>0</v>
      </c>
    </row>
    <row r="889" spans="28:30">
      <c r="AB889" s="169">
        <v>0</v>
      </c>
      <c r="AC889" s="169">
        <v>0</v>
      </c>
      <c r="AD889" s="170">
        <v>0</v>
      </c>
    </row>
    <row r="890" spans="28:30">
      <c r="AB890" s="169">
        <v>0</v>
      </c>
      <c r="AC890" s="169">
        <v>0</v>
      </c>
      <c r="AD890" s="170">
        <v>0</v>
      </c>
    </row>
    <row r="891" spans="28:30">
      <c r="AB891" s="169">
        <v>0</v>
      </c>
      <c r="AC891" s="169">
        <v>0</v>
      </c>
      <c r="AD891" s="170">
        <v>0</v>
      </c>
    </row>
    <row r="892" spans="28:30">
      <c r="AB892" s="169">
        <v>0</v>
      </c>
      <c r="AC892" s="169">
        <v>0</v>
      </c>
      <c r="AD892" s="170">
        <v>0</v>
      </c>
    </row>
    <row r="893" spans="28:30">
      <c r="AB893" s="169">
        <v>0</v>
      </c>
      <c r="AC893" s="169">
        <v>0</v>
      </c>
      <c r="AD893" s="170">
        <v>0</v>
      </c>
    </row>
    <row r="894" spans="28:30">
      <c r="AB894" s="169">
        <v>0</v>
      </c>
      <c r="AC894" s="169">
        <v>0</v>
      </c>
      <c r="AD894" s="170">
        <v>0</v>
      </c>
    </row>
    <row r="895" spans="28:30">
      <c r="AB895" s="169">
        <v>0</v>
      </c>
      <c r="AC895" s="169">
        <v>0</v>
      </c>
      <c r="AD895" s="170">
        <v>0</v>
      </c>
    </row>
    <row r="896" spans="28:30">
      <c r="AB896" s="169">
        <v>0</v>
      </c>
      <c r="AC896" s="169">
        <v>0</v>
      </c>
      <c r="AD896" s="170">
        <v>0</v>
      </c>
    </row>
    <row r="897" spans="28:30">
      <c r="AB897" s="169">
        <v>0</v>
      </c>
      <c r="AC897" s="169">
        <v>0</v>
      </c>
      <c r="AD897" s="170">
        <v>0</v>
      </c>
    </row>
    <row r="898" spans="28:30">
      <c r="AB898" s="169">
        <v>0</v>
      </c>
      <c r="AC898" s="169">
        <v>0</v>
      </c>
      <c r="AD898" s="170">
        <v>0</v>
      </c>
    </row>
    <row r="899" spans="28:30">
      <c r="AB899" s="169">
        <v>0</v>
      </c>
      <c r="AC899" s="169">
        <v>0</v>
      </c>
      <c r="AD899" s="170">
        <v>0</v>
      </c>
    </row>
    <row r="900" spans="28:30">
      <c r="AB900" s="169">
        <v>0</v>
      </c>
      <c r="AC900" s="169">
        <v>0</v>
      </c>
      <c r="AD900" s="170">
        <v>0</v>
      </c>
    </row>
    <row r="901" spans="28:30">
      <c r="AB901" s="169">
        <v>0</v>
      </c>
      <c r="AC901" s="169">
        <v>0</v>
      </c>
      <c r="AD901" s="170">
        <v>0</v>
      </c>
    </row>
    <row r="902" spans="28:30">
      <c r="AB902" s="169">
        <v>0</v>
      </c>
      <c r="AC902" s="169">
        <v>0</v>
      </c>
      <c r="AD902" s="170">
        <v>0</v>
      </c>
    </row>
    <row r="903" spans="28:30">
      <c r="AB903" s="169">
        <v>0</v>
      </c>
      <c r="AC903" s="169">
        <v>0</v>
      </c>
      <c r="AD903" s="170">
        <v>0</v>
      </c>
    </row>
    <row r="904" spans="28:30">
      <c r="AB904" s="169">
        <v>0</v>
      </c>
      <c r="AC904" s="169">
        <v>0</v>
      </c>
      <c r="AD904" s="170">
        <v>0</v>
      </c>
    </row>
    <row r="905" spans="28:30">
      <c r="AB905" s="169">
        <v>0</v>
      </c>
      <c r="AC905" s="169">
        <v>0</v>
      </c>
      <c r="AD905" s="170">
        <v>0</v>
      </c>
    </row>
    <row r="906" spans="28:30">
      <c r="AB906" s="169">
        <v>0</v>
      </c>
      <c r="AC906" s="169">
        <v>0</v>
      </c>
      <c r="AD906" s="170">
        <v>0</v>
      </c>
    </row>
    <row r="907" spans="28:30">
      <c r="AB907" s="169">
        <v>0</v>
      </c>
      <c r="AC907" s="169">
        <v>0</v>
      </c>
      <c r="AD907" s="170">
        <v>0</v>
      </c>
    </row>
    <row r="908" spans="28:30">
      <c r="AB908" s="169">
        <v>0</v>
      </c>
      <c r="AC908" s="169">
        <v>0</v>
      </c>
      <c r="AD908" s="170">
        <v>0</v>
      </c>
    </row>
    <row r="909" spans="28:30">
      <c r="AB909" s="169">
        <v>0</v>
      </c>
      <c r="AC909" s="169">
        <v>0</v>
      </c>
      <c r="AD909" s="170">
        <v>0</v>
      </c>
    </row>
    <row r="910" spans="28:30">
      <c r="AB910" s="169">
        <v>0</v>
      </c>
      <c r="AC910" s="169">
        <v>0</v>
      </c>
      <c r="AD910" s="170">
        <v>0</v>
      </c>
    </row>
    <row r="911" spans="28:30">
      <c r="AB911" s="169">
        <v>0</v>
      </c>
      <c r="AC911" s="169">
        <v>0</v>
      </c>
      <c r="AD911" s="170">
        <v>0</v>
      </c>
    </row>
    <row r="912" spans="28:30">
      <c r="AB912" s="169">
        <v>0</v>
      </c>
      <c r="AC912" s="169">
        <v>0</v>
      </c>
      <c r="AD912" s="170">
        <v>0</v>
      </c>
    </row>
    <row r="913" spans="28:30">
      <c r="AB913" s="169">
        <v>0</v>
      </c>
      <c r="AC913" s="169">
        <v>0</v>
      </c>
      <c r="AD913" s="170">
        <v>0</v>
      </c>
    </row>
    <row r="914" spans="28:30">
      <c r="AB914" s="169">
        <v>0</v>
      </c>
      <c r="AC914" s="169">
        <v>0</v>
      </c>
      <c r="AD914" s="170">
        <v>0</v>
      </c>
    </row>
    <row r="915" spans="28:30">
      <c r="AB915" s="169">
        <v>0</v>
      </c>
      <c r="AC915" s="169">
        <v>0</v>
      </c>
      <c r="AD915" s="170">
        <v>0</v>
      </c>
    </row>
    <row r="916" spans="28:30">
      <c r="AB916" s="169">
        <v>0</v>
      </c>
      <c r="AC916" s="169">
        <v>0</v>
      </c>
      <c r="AD916" s="170">
        <v>0</v>
      </c>
    </row>
    <row r="917" spans="28:30">
      <c r="AB917" s="169">
        <v>0</v>
      </c>
      <c r="AC917" s="169">
        <v>0</v>
      </c>
      <c r="AD917" s="170">
        <v>0</v>
      </c>
    </row>
    <row r="918" spans="28:30">
      <c r="AB918" s="169">
        <v>0</v>
      </c>
      <c r="AC918" s="169">
        <v>0</v>
      </c>
      <c r="AD918" s="170">
        <v>0</v>
      </c>
    </row>
    <row r="919" spans="28:30">
      <c r="AB919" s="169">
        <v>0</v>
      </c>
      <c r="AC919" s="169">
        <v>0</v>
      </c>
      <c r="AD919" s="170">
        <v>0</v>
      </c>
    </row>
    <row r="920" spans="28:30">
      <c r="AB920" s="169">
        <v>0</v>
      </c>
      <c r="AC920" s="169">
        <v>0</v>
      </c>
      <c r="AD920" s="170">
        <v>0</v>
      </c>
    </row>
    <row r="921" spans="28:30">
      <c r="AB921" s="169">
        <v>0</v>
      </c>
      <c r="AC921" s="169">
        <v>0</v>
      </c>
      <c r="AD921" s="170">
        <v>0</v>
      </c>
    </row>
    <row r="922" spans="28:30">
      <c r="AB922" s="169">
        <v>0</v>
      </c>
      <c r="AC922" s="169">
        <v>0</v>
      </c>
      <c r="AD922" s="170">
        <v>0</v>
      </c>
    </row>
    <row r="923" spans="28:30">
      <c r="AB923" s="169">
        <v>0</v>
      </c>
      <c r="AC923" s="169">
        <v>0</v>
      </c>
      <c r="AD923" s="170">
        <v>0</v>
      </c>
    </row>
    <row r="924" spans="28:30">
      <c r="AB924" s="169">
        <v>0</v>
      </c>
      <c r="AC924" s="169">
        <v>0</v>
      </c>
      <c r="AD924" s="170">
        <v>0</v>
      </c>
    </row>
    <row r="925" spans="28:30">
      <c r="AB925" s="169">
        <v>0</v>
      </c>
      <c r="AC925" s="169">
        <v>0</v>
      </c>
      <c r="AD925" s="170">
        <v>0</v>
      </c>
    </row>
    <row r="926" spans="28:30">
      <c r="AB926" s="169">
        <v>0</v>
      </c>
      <c r="AC926" s="169">
        <v>0</v>
      </c>
      <c r="AD926" s="170">
        <v>0</v>
      </c>
    </row>
    <row r="927" spans="28:30">
      <c r="AB927" s="169">
        <v>0</v>
      </c>
      <c r="AC927" s="169">
        <v>0</v>
      </c>
      <c r="AD927" s="170">
        <v>0</v>
      </c>
    </row>
    <row r="928" spans="28:30">
      <c r="AB928" s="169">
        <v>0</v>
      </c>
      <c r="AC928" s="169">
        <v>0</v>
      </c>
      <c r="AD928" s="170">
        <v>0</v>
      </c>
    </row>
    <row r="929" spans="28:30">
      <c r="AB929" s="169">
        <v>0</v>
      </c>
      <c r="AC929" s="169">
        <v>0</v>
      </c>
      <c r="AD929" s="170">
        <v>0</v>
      </c>
    </row>
    <row r="930" spans="28:30">
      <c r="AB930" s="169">
        <v>0</v>
      </c>
      <c r="AC930" s="169">
        <v>0</v>
      </c>
      <c r="AD930" s="170">
        <v>0</v>
      </c>
    </row>
    <row r="931" spans="28:30">
      <c r="AB931" s="169">
        <v>0</v>
      </c>
      <c r="AC931" s="169">
        <v>0</v>
      </c>
      <c r="AD931" s="170">
        <v>0</v>
      </c>
    </row>
    <row r="932" spans="28:30">
      <c r="AB932" s="169">
        <v>0</v>
      </c>
      <c r="AC932" s="169">
        <v>0</v>
      </c>
      <c r="AD932" s="170">
        <v>0</v>
      </c>
    </row>
    <row r="933" spans="28:30">
      <c r="AB933" s="169">
        <v>0</v>
      </c>
      <c r="AC933" s="169">
        <v>0</v>
      </c>
      <c r="AD933" s="170">
        <v>0</v>
      </c>
    </row>
    <row r="934" spans="28:30">
      <c r="AB934" s="169">
        <v>0</v>
      </c>
      <c r="AC934" s="169">
        <v>0</v>
      </c>
      <c r="AD934" s="170">
        <v>0</v>
      </c>
    </row>
    <row r="935" spans="28:30">
      <c r="AB935" s="169">
        <v>0</v>
      </c>
      <c r="AC935" s="169">
        <v>0</v>
      </c>
      <c r="AD935" s="170">
        <v>0</v>
      </c>
    </row>
    <row r="936" spans="28:30">
      <c r="AB936" s="169">
        <v>0</v>
      </c>
      <c r="AC936" s="169">
        <v>0</v>
      </c>
      <c r="AD936" s="170">
        <v>0</v>
      </c>
    </row>
    <row r="937" spans="28:30">
      <c r="AB937" s="169">
        <v>0</v>
      </c>
      <c r="AC937" s="169">
        <v>0</v>
      </c>
      <c r="AD937" s="170">
        <v>0</v>
      </c>
    </row>
    <row r="938" spans="28:30">
      <c r="AB938" s="169">
        <v>0</v>
      </c>
      <c r="AC938" s="169">
        <v>0</v>
      </c>
      <c r="AD938" s="170">
        <v>0</v>
      </c>
    </row>
    <row r="939" spans="28:30">
      <c r="AB939" s="169">
        <v>0</v>
      </c>
      <c r="AC939" s="169">
        <v>0</v>
      </c>
      <c r="AD939" s="170">
        <v>0</v>
      </c>
    </row>
    <row r="940" spans="28:30">
      <c r="AB940" s="169">
        <v>0</v>
      </c>
      <c r="AC940" s="169">
        <v>0</v>
      </c>
      <c r="AD940" s="170">
        <v>0</v>
      </c>
    </row>
    <row r="941" spans="28:30">
      <c r="AB941" s="169">
        <v>0</v>
      </c>
      <c r="AC941" s="169">
        <v>0</v>
      </c>
      <c r="AD941" s="170">
        <v>0</v>
      </c>
    </row>
    <row r="942" spans="28:30">
      <c r="AB942" s="169">
        <v>0</v>
      </c>
      <c r="AC942" s="169">
        <v>0</v>
      </c>
      <c r="AD942" s="170">
        <v>0</v>
      </c>
    </row>
    <row r="943" spans="28:30">
      <c r="AB943" s="169">
        <v>0</v>
      </c>
      <c r="AC943" s="169">
        <v>0</v>
      </c>
      <c r="AD943" s="170">
        <v>0</v>
      </c>
    </row>
    <row r="944" spans="28:30">
      <c r="AB944" s="169">
        <v>0</v>
      </c>
      <c r="AC944" s="169">
        <v>0</v>
      </c>
      <c r="AD944" s="170">
        <v>0</v>
      </c>
    </row>
    <row r="945" spans="28:30">
      <c r="AB945" s="169">
        <v>0</v>
      </c>
      <c r="AC945" s="169">
        <v>0</v>
      </c>
      <c r="AD945" s="170">
        <v>0</v>
      </c>
    </row>
    <row r="946" spans="28:30">
      <c r="AB946" s="169">
        <v>0</v>
      </c>
      <c r="AC946" s="169">
        <v>0</v>
      </c>
      <c r="AD946" s="170">
        <v>0</v>
      </c>
    </row>
    <row r="947" spans="28:30">
      <c r="AB947" s="169">
        <v>0</v>
      </c>
      <c r="AC947" s="169">
        <v>0</v>
      </c>
      <c r="AD947" s="170">
        <v>0</v>
      </c>
    </row>
    <row r="948" spans="28:30">
      <c r="AB948" s="169">
        <v>0</v>
      </c>
      <c r="AC948" s="169">
        <v>0</v>
      </c>
      <c r="AD948" s="170">
        <v>0</v>
      </c>
    </row>
    <row r="949" spans="28:30">
      <c r="AB949" s="169">
        <v>0</v>
      </c>
      <c r="AC949" s="169">
        <v>0</v>
      </c>
      <c r="AD949" s="170">
        <v>0</v>
      </c>
    </row>
    <row r="950" spans="28:30">
      <c r="AB950" s="169">
        <v>0</v>
      </c>
      <c r="AC950" s="169">
        <v>0</v>
      </c>
      <c r="AD950" s="170">
        <v>0</v>
      </c>
    </row>
    <row r="951" spans="28:30">
      <c r="AB951" s="169">
        <v>0</v>
      </c>
      <c r="AC951" s="169">
        <v>0</v>
      </c>
      <c r="AD951" s="170">
        <v>0</v>
      </c>
    </row>
    <row r="952" spans="28:30">
      <c r="AB952" s="169">
        <v>0</v>
      </c>
      <c r="AC952" s="169">
        <v>0</v>
      </c>
      <c r="AD952" s="170">
        <v>0</v>
      </c>
    </row>
    <row r="953" spans="28:30">
      <c r="AB953" s="169">
        <v>0</v>
      </c>
      <c r="AC953" s="169">
        <v>0</v>
      </c>
      <c r="AD953" s="170">
        <v>0</v>
      </c>
    </row>
    <row r="954" spans="28:30">
      <c r="AB954" s="169">
        <v>0</v>
      </c>
      <c r="AC954" s="169">
        <v>0</v>
      </c>
      <c r="AD954" s="170">
        <v>0</v>
      </c>
    </row>
    <row r="955" spans="28:30">
      <c r="AB955" s="169">
        <v>0</v>
      </c>
      <c r="AC955" s="169">
        <v>0</v>
      </c>
      <c r="AD955" s="170">
        <v>0</v>
      </c>
    </row>
    <row r="956" spans="28:30">
      <c r="AB956" s="169">
        <v>0</v>
      </c>
      <c r="AC956" s="169">
        <v>0</v>
      </c>
      <c r="AD956" s="170">
        <v>0</v>
      </c>
    </row>
    <row r="957" spans="28:30">
      <c r="AB957" s="169">
        <v>0</v>
      </c>
      <c r="AC957" s="169">
        <v>0</v>
      </c>
      <c r="AD957" s="170">
        <v>0</v>
      </c>
    </row>
    <row r="958" spans="28:30">
      <c r="AB958" s="169">
        <v>0</v>
      </c>
      <c r="AC958" s="169">
        <v>0</v>
      </c>
      <c r="AD958" s="170">
        <v>0</v>
      </c>
    </row>
    <row r="959" spans="28:30">
      <c r="AB959" s="169">
        <v>0</v>
      </c>
      <c r="AC959" s="169">
        <v>0</v>
      </c>
      <c r="AD959" s="170">
        <v>0</v>
      </c>
    </row>
    <row r="960" spans="28:30">
      <c r="AB960" s="169">
        <v>0</v>
      </c>
      <c r="AC960" s="169">
        <v>0</v>
      </c>
      <c r="AD960" s="170">
        <v>0</v>
      </c>
    </row>
    <row r="961" spans="28:30">
      <c r="AB961" s="169">
        <v>0</v>
      </c>
      <c r="AC961" s="169">
        <v>0</v>
      </c>
      <c r="AD961" s="170">
        <v>0</v>
      </c>
    </row>
    <row r="962" spans="28:30">
      <c r="AB962" s="169">
        <v>0</v>
      </c>
      <c r="AC962" s="169">
        <v>0</v>
      </c>
      <c r="AD962" s="170">
        <v>0</v>
      </c>
    </row>
    <row r="963" spans="28:30">
      <c r="AB963" s="169">
        <v>0</v>
      </c>
      <c r="AC963" s="169">
        <v>0</v>
      </c>
      <c r="AD963" s="170">
        <v>0</v>
      </c>
    </row>
    <row r="964" spans="28:30">
      <c r="AB964" s="169">
        <v>0</v>
      </c>
      <c r="AC964" s="169">
        <v>0</v>
      </c>
      <c r="AD964" s="170">
        <v>0</v>
      </c>
    </row>
    <row r="965" spans="28:30">
      <c r="AB965" s="169">
        <v>0</v>
      </c>
      <c r="AC965" s="169">
        <v>0</v>
      </c>
      <c r="AD965" s="170">
        <v>0</v>
      </c>
    </row>
    <row r="966" spans="28:30">
      <c r="AB966" s="169">
        <v>0</v>
      </c>
      <c r="AC966" s="169">
        <v>0</v>
      </c>
      <c r="AD966" s="170">
        <v>0</v>
      </c>
    </row>
    <row r="967" spans="28:30">
      <c r="AB967" s="169">
        <v>0</v>
      </c>
      <c r="AC967" s="169">
        <v>0</v>
      </c>
      <c r="AD967" s="170">
        <v>0</v>
      </c>
    </row>
    <row r="968" spans="28:30">
      <c r="AB968" s="169">
        <v>0</v>
      </c>
      <c r="AC968" s="169">
        <v>0</v>
      </c>
      <c r="AD968" s="170">
        <v>0</v>
      </c>
    </row>
    <row r="969" spans="28:30">
      <c r="AB969" s="169">
        <v>0</v>
      </c>
      <c r="AC969" s="169">
        <v>0</v>
      </c>
      <c r="AD969" s="170">
        <v>0</v>
      </c>
    </row>
    <row r="970" spans="28:30">
      <c r="AB970" s="169">
        <v>0</v>
      </c>
      <c r="AC970" s="169">
        <v>0</v>
      </c>
      <c r="AD970" s="170">
        <v>0</v>
      </c>
    </row>
    <row r="971" spans="28:30">
      <c r="AB971" s="169">
        <v>0</v>
      </c>
      <c r="AC971" s="169">
        <v>0</v>
      </c>
      <c r="AD971" s="170">
        <v>0</v>
      </c>
    </row>
    <row r="972" spans="28:30">
      <c r="AB972" s="169">
        <v>0</v>
      </c>
      <c r="AC972" s="169">
        <v>0</v>
      </c>
      <c r="AD972" s="170">
        <v>0</v>
      </c>
    </row>
    <row r="973" spans="28:30">
      <c r="AB973" s="169">
        <v>0</v>
      </c>
      <c r="AC973" s="169">
        <v>0</v>
      </c>
      <c r="AD973" s="170">
        <v>0</v>
      </c>
    </row>
    <row r="974" spans="28:30">
      <c r="AB974" s="169">
        <v>0</v>
      </c>
      <c r="AC974" s="169">
        <v>0</v>
      </c>
      <c r="AD974" s="170">
        <v>0</v>
      </c>
    </row>
    <row r="975" spans="28:30">
      <c r="AB975" s="169">
        <v>0</v>
      </c>
      <c r="AC975" s="169">
        <v>0</v>
      </c>
      <c r="AD975" s="170">
        <v>0</v>
      </c>
    </row>
    <row r="976" spans="28:30">
      <c r="AB976" s="169">
        <v>0</v>
      </c>
      <c r="AC976" s="169">
        <v>0</v>
      </c>
      <c r="AD976" s="170">
        <v>0</v>
      </c>
    </row>
    <row r="977" spans="28:30">
      <c r="AB977" s="169">
        <v>0</v>
      </c>
      <c r="AC977" s="169">
        <v>0</v>
      </c>
      <c r="AD977" s="170">
        <v>0</v>
      </c>
    </row>
    <row r="978" spans="28:30">
      <c r="AB978" s="169">
        <v>0</v>
      </c>
      <c r="AC978" s="169">
        <v>0</v>
      </c>
      <c r="AD978" s="170">
        <v>0</v>
      </c>
    </row>
    <row r="979" spans="28:30">
      <c r="AB979" s="169">
        <v>0</v>
      </c>
      <c r="AC979" s="169">
        <v>0</v>
      </c>
      <c r="AD979" s="170">
        <v>0</v>
      </c>
    </row>
    <row r="980" spans="28:30">
      <c r="AB980" s="169">
        <v>0</v>
      </c>
      <c r="AC980" s="169">
        <v>0</v>
      </c>
      <c r="AD980" s="170">
        <v>0</v>
      </c>
    </row>
    <row r="981" spans="28:30">
      <c r="AB981" s="169">
        <v>0</v>
      </c>
      <c r="AC981" s="169">
        <v>0</v>
      </c>
      <c r="AD981" s="170">
        <v>0</v>
      </c>
    </row>
    <row r="982" spans="28:30">
      <c r="AB982" s="169">
        <v>0</v>
      </c>
      <c r="AC982" s="169">
        <v>0</v>
      </c>
      <c r="AD982" s="170">
        <v>0</v>
      </c>
    </row>
    <row r="983" spans="28:30">
      <c r="AB983" s="169">
        <v>0</v>
      </c>
      <c r="AC983" s="169">
        <v>0</v>
      </c>
      <c r="AD983" s="170">
        <v>0</v>
      </c>
    </row>
    <row r="984" spans="28:30">
      <c r="AB984" s="169">
        <v>0</v>
      </c>
      <c r="AC984" s="169">
        <v>0</v>
      </c>
      <c r="AD984" s="170">
        <v>0</v>
      </c>
    </row>
    <row r="985" spans="28:30">
      <c r="AB985" s="169">
        <v>0</v>
      </c>
      <c r="AC985" s="169">
        <v>0</v>
      </c>
      <c r="AD985" s="170">
        <v>0</v>
      </c>
    </row>
    <row r="986" spans="28:30">
      <c r="AB986" s="169">
        <v>0</v>
      </c>
      <c r="AC986" s="169">
        <v>0</v>
      </c>
      <c r="AD986" s="170">
        <v>0</v>
      </c>
    </row>
    <row r="987" spans="28:30">
      <c r="AB987" s="169">
        <v>0</v>
      </c>
      <c r="AC987" s="169">
        <v>0</v>
      </c>
      <c r="AD987" s="170">
        <v>0</v>
      </c>
    </row>
    <row r="988" spans="28:30">
      <c r="AB988" s="169">
        <v>0</v>
      </c>
      <c r="AC988" s="169">
        <v>0</v>
      </c>
      <c r="AD988" s="170">
        <v>0</v>
      </c>
    </row>
    <row r="989" spans="28:30">
      <c r="AB989" s="169">
        <v>0</v>
      </c>
      <c r="AC989" s="169">
        <v>0</v>
      </c>
      <c r="AD989" s="170">
        <v>0</v>
      </c>
    </row>
    <row r="990" spans="28:30">
      <c r="AB990" s="169">
        <v>0</v>
      </c>
      <c r="AC990" s="169">
        <v>0</v>
      </c>
      <c r="AD990" s="170">
        <v>0</v>
      </c>
    </row>
    <row r="991" spans="28:30">
      <c r="AB991" s="169">
        <v>0</v>
      </c>
      <c r="AC991" s="169">
        <v>0</v>
      </c>
      <c r="AD991" s="170">
        <v>0</v>
      </c>
    </row>
    <row r="992" spans="28:30">
      <c r="AB992" s="169">
        <v>0</v>
      </c>
      <c r="AC992" s="169">
        <v>0</v>
      </c>
      <c r="AD992" s="170">
        <v>0</v>
      </c>
    </row>
    <row r="993" spans="28:30">
      <c r="AB993" s="169">
        <v>0</v>
      </c>
      <c r="AC993" s="169">
        <v>0</v>
      </c>
      <c r="AD993" s="170">
        <v>0</v>
      </c>
    </row>
    <row r="994" spans="28:30">
      <c r="AB994" s="169">
        <v>0</v>
      </c>
      <c r="AC994" s="169">
        <v>0</v>
      </c>
      <c r="AD994" s="170">
        <v>0</v>
      </c>
    </row>
    <row r="995" spans="28:30">
      <c r="AB995" s="169">
        <v>0</v>
      </c>
      <c r="AC995" s="169">
        <v>0</v>
      </c>
      <c r="AD995" s="170">
        <v>0</v>
      </c>
    </row>
    <row r="996" spans="28:30">
      <c r="AB996" s="169">
        <v>0</v>
      </c>
      <c r="AC996" s="169">
        <v>0</v>
      </c>
      <c r="AD996" s="170">
        <v>0</v>
      </c>
    </row>
    <row r="997" spans="28:30">
      <c r="AB997" s="169">
        <v>0</v>
      </c>
      <c r="AC997" s="169">
        <v>0</v>
      </c>
      <c r="AD997" s="170">
        <v>0</v>
      </c>
    </row>
    <row r="998" spans="28:30">
      <c r="AB998" s="169">
        <v>0</v>
      </c>
      <c r="AC998" s="169">
        <v>0</v>
      </c>
      <c r="AD998" s="170">
        <v>0</v>
      </c>
    </row>
    <row r="999" spans="28:30">
      <c r="AB999" s="169">
        <v>0</v>
      </c>
      <c r="AC999" s="169">
        <v>0</v>
      </c>
      <c r="AD999" s="170">
        <v>0</v>
      </c>
    </row>
    <row r="1000" spans="28:30">
      <c r="AB1000" s="169">
        <v>0</v>
      </c>
      <c r="AC1000" s="169">
        <v>0</v>
      </c>
      <c r="AD1000" s="170">
        <v>0</v>
      </c>
    </row>
    <row r="1001" spans="28:30">
      <c r="AB1001" s="169">
        <v>0</v>
      </c>
      <c r="AC1001" s="169">
        <v>0</v>
      </c>
      <c r="AD1001" s="170">
        <v>0</v>
      </c>
    </row>
    <row r="1002" spans="28:30">
      <c r="AB1002" s="169">
        <v>0</v>
      </c>
      <c r="AC1002" s="169">
        <v>0</v>
      </c>
      <c r="AD1002" s="170">
        <v>0</v>
      </c>
    </row>
    <row r="1003" spans="28:30">
      <c r="AB1003" s="169">
        <v>0</v>
      </c>
      <c r="AC1003" s="169">
        <v>0</v>
      </c>
      <c r="AD1003" s="170">
        <v>0</v>
      </c>
    </row>
    <row r="1004" spans="28:30">
      <c r="AB1004" s="169">
        <v>0</v>
      </c>
      <c r="AC1004" s="169">
        <v>0</v>
      </c>
      <c r="AD1004" s="170">
        <v>0</v>
      </c>
    </row>
    <row r="1005" spans="28:30">
      <c r="AB1005" s="169">
        <v>0</v>
      </c>
      <c r="AC1005" s="169">
        <v>0</v>
      </c>
      <c r="AD1005" s="170">
        <v>0</v>
      </c>
    </row>
    <row r="1006" spans="28:30">
      <c r="AB1006" s="169">
        <v>0</v>
      </c>
      <c r="AC1006" s="169">
        <v>0</v>
      </c>
      <c r="AD1006" s="170">
        <v>0</v>
      </c>
    </row>
    <row r="1007" spans="28:30">
      <c r="AB1007" s="169">
        <v>0</v>
      </c>
      <c r="AC1007" s="169">
        <v>0</v>
      </c>
      <c r="AD1007" s="170">
        <v>0</v>
      </c>
    </row>
    <row r="1008" spans="28:30">
      <c r="AB1008" s="169">
        <v>0</v>
      </c>
      <c r="AC1008" s="169">
        <v>0</v>
      </c>
      <c r="AD1008" s="170">
        <v>0</v>
      </c>
    </row>
    <row r="1009" spans="28:30">
      <c r="AB1009" s="169">
        <v>0</v>
      </c>
      <c r="AC1009" s="169">
        <v>0</v>
      </c>
      <c r="AD1009" s="170">
        <v>0</v>
      </c>
    </row>
    <row r="1010" spans="28:30">
      <c r="AB1010" s="169">
        <v>0</v>
      </c>
      <c r="AC1010" s="169">
        <v>0</v>
      </c>
      <c r="AD1010" s="170">
        <v>0</v>
      </c>
    </row>
    <row r="1011" spans="28:30">
      <c r="AB1011" s="169">
        <v>0</v>
      </c>
      <c r="AC1011" s="169">
        <v>0</v>
      </c>
      <c r="AD1011" s="170">
        <v>0</v>
      </c>
    </row>
    <row r="1012" spans="28:30">
      <c r="AB1012" s="169">
        <v>0</v>
      </c>
      <c r="AC1012" s="169">
        <v>0</v>
      </c>
      <c r="AD1012" s="170">
        <v>0</v>
      </c>
    </row>
    <row r="1013" spans="28:30">
      <c r="AB1013" s="169">
        <v>0</v>
      </c>
      <c r="AC1013" s="169">
        <v>0</v>
      </c>
      <c r="AD1013" s="170">
        <v>0</v>
      </c>
    </row>
    <row r="1014" spans="28:30">
      <c r="AB1014" s="169">
        <v>0</v>
      </c>
      <c r="AC1014" s="169">
        <v>0</v>
      </c>
      <c r="AD1014" s="170">
        <v>0</v>
      </c>
    </row>
    <row r="1015" spans="28:30">
      <c r="AB1015" s="169">
        <v>0</v>
      </c>
      <c r="AC1015" s="169">
        <v>0</v>
      </c>
      <c r="AD1015" s="170">
        <v>0</v>
      </c>
    </row>
    <row r="1016" spans="28:30">
      <c r="AB1016" s="169">
        <v>0</v>
      </c>
      <c r="AC1016" s="169">
        <v>0</v>
      </c>
      <c r="AD1016" s="170">
        <v>0</v>
      </c>
    </row>
    <row r="1017" spans="28:30">
      <c r="AB1017" s="169">
        <v>0</v>
      </c>
      <c r="AC1017" s="169">
        <v>0</v>
      </c>
      <c r="AD1017" s="170">
        <v>0</v>
      </c>
    </row>
    <row r="1018" spans="28:30">
      <c r="AB1018" s="169">
        <v>0</v>
      </c>
      <c r="AC1018" s="169">
        <v>0</v>
      </c>
      <c r="AD1018" s="170">
        <v>0</v>
      </c>
    </row>
    <row r="1019" spans="28:30">
      <c r="AB1019" s="169">
        <v>0</v>
      </c>
      <c r="AC1019" s="169">
        <v>0</v>
      </c>
      <c r="AD1019" s="170">
        <v>0</v>
      </c>
    </row>
    <row r="1020" spans="28:30">
      <c r="AB1020" s="169">
        <v>0</v>
      </c>
      <c r="AC1020" s="169">
        <v>0</v>
      </c>
      <c r="AD1020" s="170">
        <v>0</v>
      </c>
    </row>
    <row r="1021" spans="28:30">
      <c r="AB1021" s="169">
        <v>0</v>
      </c>
      <c r="AC1021" s="169">
        <v>0</v>
      </c>
      <c r="AD1021" s="170">
        <v>0</v>
      </c>
    </row>
    <row r="1022" spans="28:30">
      <c r="AB1022" s="169">
        <v>0</v>
      </c>
      <c r="AC1022" s="169">
        <v>0</v>
      </c>
      <c r="AD1022" s="170">
        <v>0</v>
      </c>
    </row>
    <row r="1023" spans="28:30">
      <c r="AB1023" s="169">
        <v>0</v>
      </c>
      <c r="AC1023" s="169">
        <v>0</v>
      </c>
      <c r="AD1023" s="170">
        <v>0</v>
      </c>
    </row>
    <row r="1024" spans="28:30">
      <c r="AB1024" s="169">
        <v>0</v>
      </c>
      <c r="AC1024" s="169">
        <v>0</v>
      </c>
      <c r="AD1024" s="170">
        <v>0</v>
      </c>
    </row>
    <row r="1025" spans="28:30">
      <c r="AB1025" s="169">
        <v>0</v>
      </c>
      <c r="AC1025" s="169">
        <v>0</v>
      </c>
      <c r="AD1025" s="170">
        <v>0</v>
      </c>
    </row>
    <row r="1026" spans="28:30">
      <c r="AB1026" s="169">
        <v>0</v>
      </c>
      <c r="AC1026" s="169">
        <v>0</v>
      </c>
      <c r="AD1026" s="170">
        <v>0</v>
      </c>
    </row>
    <row r="1027" spans="28:30">
      <c r="AB1027" s="169">
        <v>0</v>
      </c>
      <c r="AC1027" s="169">
        <v>0</v>
      </c>
      <c r="AD1027" s="170">
        <v>0</v>
      </c>
    </row>
    <row r="1028" spans="28:30">
      <c r="AB1028" s="169">
        <v>0</v>
      </c>
      <c r="AC1028" s="169">
        <v>0</v>
      </c>
      <c r="AD1028" s="170">
        <v>0</v>
      </c>
    </row>
    <row r="1029" spans="28:30">
      <c r="AB1029" s="169">
        <v>0</v>
      </c>
      <c r="AC1029" s="169">
        <v>0</v>
      </c>
      <c r="AD1029" s="170">
        <v>0</v>
      </c>
    </row>
    <row r="1030" spans="28:30">
      <c r="AB1030" s="169">
        <v>0</v>
      </c>
      <c r="AC1030" s="169">
        <v>0</v>
      </c>
      <c r="AD1030" s="170">
        <v>0</v>
      </c>
    </row>
    <row r="1031" spans="28:30">
      <c r="AB1031" s="169">
        <v>0</v>
      </c>
      <c r="AC1031" s="169">
        <v>0</v>
      </c>
      <c r="AD1031" s="170">
        <v>0</v>
      </c>
    </row>
    <row r="1032" spans="28:30">
      <c r="AB1032" s="169">
        <v>0</v>
      </c>
      <c r="AC1032" s="169">
        <v>0</v>
      </c>
      <c r="AD1032" s="170">
        <v>0</v>
      </c>
    </row>
    <row r="1033" spans="28:30">
      <c r="AB1033" s="169">
        <v>0</v>
      </c>
      <c r="AC1033" s="169">
        <v>0</v>
      </c>
      <c r="AD1033" s="170">
        <v>0</v>
      </c>
    </row>
    <row r="1034" spans="28:30">
      <c r="AB1034" s="169">
        <v>0</v>
      </c>
      <c r="AC1034" s="169">
        <v>0</v>
      </c>
      <c r="AD1034" s="170">
        <v>0</v>
      </c>
    </row>
    <row r="1035" spans="28:30">
      <c r="AB1035" s="169">
        <v>0</v>
      </c>
      <c r="AC1035" s="169">
        <v>0</v>
      </c>
      <c r="AD1035" s="170">
        <v>0</v>
      </c>
    </row>
    <row r="1036" spans="28:30">
      <c r="AB1036" s="169">
        <v>0</v>
      </c>
      <c r="AC1036" s="169">
        <v>0</v>
      </c>
      <c r="AD1036" s="170">
        <v>0</v>
      </c>
    </row>
    <row r="1037" spans="28:30">
      <c r="AB1037" s="169">
        <v>0</v>
      </c>
      <c r="AC1037" s="169">
        <v>0</v>
      </c>
      <c r="AD1037" s="170">
        <v>0</v>
      </c>
    </row>
    <row r="1038" spans="28:30">
      <c r="AB1038" s="169">
        <v>0</v>
      </c>
      <c r="AC1038" s="169">
        <v>0</v>
      </c>
      <c r="AD1038" s="170">
        <v>0</v>
      </c>
    </row>
    <row r="1039" spans="28:30">
      <c r="AB1039" s="169">
        <v>0</v>
      </c>
      <c r="AC1039" s="169">
        <v>0</v>
      </c>
      <c r="AD1039" s="170">
        <v>0</v>
      </c>
    </row>
    <row r="1040" spans="28:30">
      <c r="AB1040" s="169">
        <v>0</v>
      </c>
      <c r="AC1040" s="169">
        <v>0</v>
      </c>
      <c r="AD1040" s="170">
        <v>0</v>
      </c>
    </row>
    <row r="1041" spans="28:30">
      <c r="AB1041" s="169">
        <v>0</v>
      </c>
      <c r="AC1041" s="169">
        <v>0</v>
      </c>
      <c r="AD1041" s="170">
        <v>0</v>
      </c>
    </row>
    <row r="1042" spans="28:30">
      <c r="AB1042" s="169">
        <v>0</v>
      </c>
      <c r="AC1042" s="169">
        <v>0</v>
      </c>
      <c r="AD1042" s="170">
        <v>0</v>
      </c>
    </row>
    <row r="1043" spans="28:30">
      <c r="AB1043" s="169">
        <v>0</v>
      </c>
      <c r="AC1043" s="169">
        <v>0</v>
      </c>
      <c r="AD1043" s="170">
        <v>0</v>
      </c>
    </row>
    <row r="1044" spans="28:30">
      <c r="AB1044" s="169">
        <v>0</v>
      </c>
      <c r="AC1044" s="169">
        <v>0</v>
      </c>
      <c r="AD1044" s="170">
        <v>0</v>
      </c>
    </row>
    <row r="1045" spans="28:30">
      <c r="AB1045" s="169">
        <v>0</v>
      </c>
      <c r="AC1045" s="169">
        <v>0</v>
      </c>
      <c r="AD1045" s="170">
        <v>0</v>
      </c>
    </row>
    <row r="1046" spans="28:30">
      <c r="AB1046" s="169">
        <v>0</v>
      </c>
      <c r="AC1046" s="169">
        <v>0</v>
      </c>
      <c r="AD1046" s="170">
        <v>0</v>
      </c>
    </row>
    <row r="1047" spans="28:30">
      <c r="AB1047" s="169">
        <v>0</v>
      </c>
      <c r="AC1047" s="169">
        <v>0</v>
      </c>
      <c r="AD1047" s="170">
        <v>0</v>
      </c>
    </row>
    <row r="1048" spans="28:30">
      <c r="AB1048" s="169">
        <v>0</v>
      </c>
      <c r="AC1048" s="169">
        <v>0</v>
      </c>
      <c r="AD1048" s="170">
        <v>0</v>
      </c>
    </row>
    <row r="1049" spans="28:30">
      <c r="AB1049" s="169">
        <v>0</v>
      </c>
      <c r="AC1049" s="169">
        <v>0</v>
      </c>
      <c r="AD1049" s="170">
        <v>0</v>
      </c>
    </row>
    <row r="1050" spans="28:30">
      <c r="AB1050" s="169">
        <v>0</v>
      </c>
      <c r="AC1050" s="169">
        <v>0</v>
      </c>
      <c r="AD1050" s="170">
        <v>0</v>
      </c>
    </row>
    <row r="1051" spans="28:30">
      <c r="AB1051" s="169">
        <v>0</v>
      </c>
      <c r="AC1051" s="169">
        <v>0</v>
      </c>
      <c r="AD1051" s="170">
        <v>0</v>
      </c>
    </row>
    <row r="1052" spans="28:30">
      <c r="AB1052" s="169">
        <v>0</v>
      </c>
      <c r="AC1052" s="169">
        <v>0</v>
      </c>
      <c r="AD1052" s="170">
        <v>0</v>
      </c>
    </row>
    <row r="1053" spans="28:30">
      <c r="AB1053" s="169">
        <v>0</v>
      </c>
      <c r="AC1053" s="169">
        <v>0</v>
      </c>
      <c r="AD1053" s="170">
        <v>0</v>
      </c>
    </row>
    <row r="1054" spans="28:30">
      <c r="AB1054" s="169">
        <v>0</v>
      </c>
      <c r="AC1054" s="169">
        <v>0</v>
      </c>
      <c r="AD1054" s="170">
        <v>0</v>
      </c>
    </row>
    <row r="1055" spans="28:30">
      <c r="AB1055" s="169">
        <v>0</v>
      </c>
      <c r="AC1055" s="169">
        <v>0</v>
      </c>
      <c r="AD1055" s="170">
        <v>0</v>
      </c>
    </row>
    <row r="1056" spans="28:30">
      <c r="AB1056" s="169">
        <v>0</v>
      </c>
      <c r="AC1056" s="169">
        <v>0</v>
      </c>
      <c r="AD1056" s="170">
        <v>0</v>
      </c>
    </row>
    <row r="1057" spans="28:30">
      <c r="AB1057" s="169">
        <v>0</v>
      </c>
      <c r="AC1057" s="169">
        <v>0</v>
      </c>
      <c r="AD1057" s="170">
        <v>0</v>
      </c>
    </row>
    <row r="1058" spans="28:30">
      <c r="AB1058" s="169">
        <v>0</v>
      </c>
      <c r="AC1058" s="169">
        <v>0</v>
      </c>
      <c r="AD1058" s="170">
        <v>0</v>
      </c>
    </row>
    <row r="1059" spans="28:30">
      <c r="AB1059" s="169">
        <v>0</v>
      </c>
      <c r="AC1059" s="169">
        <v>0</v>
      </c>
      <c r="AD1059" s="170">
        <v>0</v>
      </c>
    </row>
    <row r="1060" spans="28:30">
      <c r="AB1060" s="169">
        <v>0</v>
      </c>
      <c r="AC1060" s="169">
        <v>0</v>
      </c>
      <c r="AD1060" s="170">
        <v>0</v>
      </c>
    </row>
    <row r="1061" spans="28:30">
      <c r="AB1061" s="169">
        <v>0</v>
      </c>
      <c r="AC1061" s="169">
        <v>0</v>
      </c>
      <c r="AD1061" s="170">
        <v>0</v>
      </c>
    </row>
    <row r="1062" spans="28:30">
      <c r="AB1062" s="169">
        <v>0</v>
      </c>
      <c r="AC1062" s="169">
        <v>0</v>
      </c>
      <c r="AD1062" s="170">
        <v>0</v>
      </c>
    </row>
    <row r="1063" spans="28:30">
      <c r="AB1063" s="169">
        <v>0</v>
      </c>
      <c r="AC1063" s="169">
        <v>0</v>
      </c>
      <c r="AD1063" s="170">
        <v>0</v>
      </c>
    </row>
    <row r="1064" spans="28:30">
      <c r="AB1064" s="169">
        <v>0</v>
      </c>
      <c r="AC1064" s="169">
        <v>0</v>
      </c>
      <c r="AD1064" s="170">
        <v>0</v>
      </c>
    </row>
    <row r="1065" spans="28:30">
      <c r="AB1065" s="169">
        <v>0</v>
      </c>
      <c r="AC1065" s="169">
        <v>0</v>
      </c>
      <c r="AD1065" s="170">
        <v>0</v>
      </c>
    </row>
    <row r="1066" spans="28:30">
      <c r="AB1066" s="169">
        <v>0</v>
      </c>
      <c r="AC1066" s="169">
        <v>0</v>
      </c>
      <c r="AD1066" s="170">
        <v>0</v>
      </c>
    </row>
    <row r="1067" spans="28:30">
      <c r="AB1067" s="169">
        <v>0</v>
      </c>
      <c r="AC1067" s="169">
        <v>0</v>
      </c>
      <c r="AD1067" s="170">
        <v>0</v>
      </c>
    </row>
    <row r="1068" spans="28:30">
      <c r="AB1068" s="169">
        <v>0</v>
      </c>
      <c r="AC1068" s="169">
        <v>0</v>
      </c>
      <c r="AD1068" s="170">
        <v>0</v>
      </c>
    </row>
    <row r="1069" spans="28:30">
      <c r="AB1069" s="169">
        <v>0</v>
      </c>
      <c r="AC1069" s="169">
        <v>0</v>
      </c>
      <c r="AD1069" s="170">
        <v>0</v>
      </c>
    </row>
    <row r="1070" spans="28:30">
      <c r="AB1070" s="169">
        <v>0</v>
      </c>
      <c r="AC1070" s="169">
        <v>0</v>
      </c>
      <c r="AD1070" s="170">
        <v>0</v>
      </c>
    </row>
    <row r="1071" spans="28:30">
      <c r="AB1071" s="169">
        <v>0</v>
      </c>
      <c r="AC1071" s="169">
        <v>0</v>
      </c>
      <c r="AD1071" s="170">
        <v>0</v>
      </c>
    </row>
    <row r="1072" spans="28:30">
      <c r="AB1072" s="169">
        <v>0</v>
      </c>
      <c r="AC1072" s="169">
        <v>0</v>
      </c>
      <c r="AD1072" s="170">
        <v>0</v>
      </c>
    </row>
    <row r="1073" spans="28:30">
      <c r="AB1073" s="169">
        <v>0</v>
      </c>
      <c r="AC1073" s="169">
        <v>0</v>
      </c>
      <c r="AD1073" s="170">
        <v>0</v>
      </c>
    </row>
    <row r="1074" spans="28:30">
      <c r="AB1074" s="169">
        <v>0</v>
      </c>
      <c r="AC1074" s="169">
        <v>0</v>
      </c>
      <c r="AD1074" s="170">
        <v>0</v>
      </c>
    </row>
    <row r="1075" spans="28:30">
      <c r="AB1075" s="169">
        <v>0</v>
      </c>
      <c r="AC1075" s="169">
        <v>0</v>
      </c>
      <c r="AD1075" s="170">
        <v>0</v>
      </c>
    </row>
    <row r="1076" spans="28:30">
      <c r="AB1076" s="169">
        <v>0</v>
      </c>
      <c r="AC1076" s="169">
        <v>0</v>
      </c>
      <c r="AD1076" s="170">
        <v>0</v>
      </c>
    </row>
    <row r="1077" spans="28:30">
      <c r="AB1077" s="169">
        <v>0</v>
      </c>
      <c r="AC1077" s="169">
        <v>0</v>
      </c>
      <c r="AD1077" s="170">
        <v>0</v>
      </c>
    </row>
    <row r="1078" spans="28:30">
      <c r="AB1078" s="169">
        <v>0</v>
      </c>
      <c r="AC1078" s="169">
        <v>0</v>
      </c>
      <c r="AD1078" s="170">
        <v>0</v>
      </c>
    </row>
    <row r="1079" spans="28:30">
      <c r="AB1079" s="169">
        <v>0</v>
      </c>
      <c r="AC1079" s="169">
        <v>0</v>
      </c>
      <c r="AD1079" s="170">
        <v>0</v>
      </c>
    </row>
    <row r="1080" spans="28:30">
      <c r="AB1080" s="169">
        <v>0</v>
      </c>
      <c r="AC1080" s="169">
        <v>0</v>
      </c>
      <c r="AD1080" s="170">
        <v>0</v>
      </c>
    </row>
    <row r="1081" spans="28:30">
      <c r="AB1081" s="169">
        <v>0</v>
      </c>
      <c r="AC1081" s="169">
        <v>0</v>
      </c>
      <c r="AD1081" s="170">
        <v>0</v>
      </c>
    </row>
    <row r="1082" spans="28:30">
      <c r="AB1082" s="169">
        <v>0</v>
      </c>
      <c r="AC1082" s="169">
        <v>0</v>
      </c>
      <c r="AD1082" s="170">
        <v>0</v>
      </c>
    </row>
    <row r="1083" spans="28:30">
      <c r="AB1083" s="169">
        <v>0</v>
      </c>
      <c r="AC1083" s="169">
        <v>0</v>
      </c>
      <c r="AD1083" s="170">
        <v>0</v>
      </c>
    </row>
    <row r="1084" spans="28:30">
      <c r="AB1084" s="169">
        <v>0</v>
      </c>
      <c r="AC1084" s="169">
        <v>0</v>
      </c>
      <c r="AD1084" s="170">
        <v>0</v>
      </c>
    </row>
    <row r="1085" spans="28:30">
      <c r="AB1085" s="169">
        <v>0</v>
      </c>
      <c r="AC1085" s="169">
        <v>0</v>
      </c>
      <c r="AD1085" s="170">
        <v>0</v>
      </c>
    </row>
    <row r="1086" spans="28:30">
      <c r="AB1086" s="169">
        <v>0</v>
      </c>
      <c r="AC1086" s="169">
        <v>0</v>
      </c>
      <c r="AD1086" s="170">
        <v>0</v>
      </c>
    </row>
    <row r="1087" spans="28:30">
      <c r="AB1087" s="169">
        <v>0</v>
      </c>
      <c r="AC1087" s="169">
        <v>0</v>
      </c>
      <c r="AD1087" s="170">
        <v>0</v>
      </c>
    </row>
    <row r="1088" spans="28:30">
      <c r="AB1088" s="169">
        <v>0</v>
      </c>
      <c r="AC1088" s="169">
        <v>0</v>
      </c>
      <c r="AD1088" s="170">
        <v>0</v>
      </c>
    </row>
    <row r="1089" spans="28:30">
      <c r="AB1089" s="169">
        <v>0</v>
      </c>
      <c r="AC1089" s="169">
        <v>0</v>
      </c>
      <c r="AD1089" s="170">
        <v>0</v>
      </c>
    </row>
    <row r="1090" spans="28:30">
      <c r="AB1090" s="169">
        <v>0</v>
      </c>
      <c r="AC1090" s="169">
        <v>0</v>
      </c>
      <c r="AD1090" s="170">
        <v>0</v>
      </c>
    </row>
    <row r="1091" spans="28:30">
      <c r="AB1091" s="169">
        <v>0</v>
      </c>
      <c r="AC1091" s="169">
        <v>0</v>
      </c>
      <c r="AD1091" s="170">
        <v>0</v>
      </c>
    </row>
    <row r="1092" spans="28:30">
      <c r="AB1092" s="169">
        <v>0</v>
      </c>
      <c r="AC1092" s="169">
        <v>0</v>
      </c>
      <c r="AD1092" s="170">
        <v>0</v>
      </c>
    </row>
    <row r="1093" spans="28:30">
      <c r="AB1093" s="169">
        <v>0</v>
      </c>
      <c r="AC1093" s="169">
        <v>0</v>
      </c>
      <c r="AD1093" s="170">
        <v>0</v>
      </c>
    </row>
    <row r="1094" spans="28:30">
      <c r="AB1094" s="169">
        <v>0</v>
      </c>
      <c r="AC1094" s="169">
        <v>0</v>
      </c>
      <c r="AD1094" s="170">
        <v>0</v>
      </c>
    </row>
    <row r="1095" spans="28:30">
      <c r="AB1095" s="169">
        <v>0</v>
      </c>
      <c r="AC1095" s="169">
        <v>0</v>
      </c>
      <c r="AD1095" s="170">
        <v>0</v>
      </c>
    </row>
    <row r="1096" spans="28:30">
      <c r="AB1096" s="169">
        <v>0</v>
      </c>
      <c r="AC1096" s="169">
        <v>0</v>
      </c>
      <c r="AD1096" s="170">
        <v>0</v>
      </c>
    </row>
    <row r="1097" spans="28:30">
      <c r="AB1097" s="169">
        <v>0</v>
      </c>
      <c r="AC1097" s="169">
        <v>0</v>
      </c>
      <c r="AD1097" s="170">
        <v>0</v>
      </c>
    </row>
    <row r="1098" spans="28:30">
      <c r="AB1098" s="169">
        <v>0</v>
      </c>
      <c r="AC1098" s="169">
        <v>0</v>
      </c>
      <c r="AD1098" s="170">
        <v>0</v>
      </c>
    </row>
    <row r="1099" spans="28:30">
      <c r="AB1099" s="169">
        <v>0</v>
      </c>
      <c r="AC1099" s="169">
        <v>0</v>
      </c>
      <c r="AD1099" s="170">
        <v>0</v>
      </c>
    </row>
    <row r="1100" spans="28:30">
      <c r="AB1100" s="169">
        <v>0</v>
      </c>
      <c r="AC1100" s="169">
        <v>0</v>
      </c>
      <c r="AD1100" s="170">
        <v>0</v>
      </c>
    </row>
    <row r="1101" spans="28:30">
      <c r="AB1101" s="169">
        <v>0</v>
      </c>
      <c r="AC1101" s="169">
        <v>0</v>
      </c>
      <c r="AD1101" s="170">
        <v>0</v>
      </c>
    </row>
    <row r="1102" spans="28:30">
      <c r="AB1102" s="169">
        <v>0</v>
      </c>
      <c r="AC1102" s="169">
        <v>0</v>
      </c>
      <c r="AD1102" s="170">
        <v>0</v>
      </c>
    </row>
    <row r="1103" spans="28:30">
      <c r="AB1103" s="169">
        <v>0</v>
      </c>
      <c r="AC1103" s="169">
        <v>0</v>
      </c>
      <c r="AD1103" s="170">
        <v>0</v>
      </c>
    </row>
    <row r="1104" spans="28:30">
      <c r="AB1104" s="169">
        <v>0</v>
      </c>
      <c r="AC1104" s="169">
        <v>0</v>
      </c>
      <c r="AD1104" s="170">
        <v>0</v>
      </c>
    </row>
    <row r="1105" spans="28:30">
      <c r="AB1105" s="169">
        <v>0</v>
      </c>
      <c r="AC1105" s="169">
        <v>0</v>
      </c>
      <c r="AD1105" s="170">
        <v>0</v>
      </c>
    </row>
    <row r="1106" spans="28:30">
      <c r="AB1106" s="169">
        <v>0</v>
      </c>
      <c r="AC1106" s="169">
        <v>0</v>
      </c>
      <c r="AD1106" s="170">
        <v>0</v>
      </c>
    </row>
    <row r="1107" spans="28:30">
      <c r="AB1107" s="169">
        <v>0</v>
      </c>
      <c r="AC1107" s="169">
        <v>0</v>
      </c>
      <c r="AD1107" s="170">
        <v>0</v>
      </c>
    </row>
    <row r="1108" spans="28:30">
      <c r="AB1108" s="169">
        <v>0</v>
      </c>
      <c r="AC1108" s="169">
        <v>0</v>
      </c>
      <c r="AD1108" s="170">
        <v>0</v>
      </c>
    </row>
    <row r="1109" spans="28:30">
      <c r="AB1109" s="169">
        <v>0</v>
      </c>
      <c r="AC1109" s="169">
        <v>0</v>
      </c>
      <c r="AD1109" s="170">
        <v>0</v>
      </c>
    </row>
    <row r="1110" spans="28:30">
      <c r="AB1110" s="169">
        <v>0</v>
      </c>
      <c r="AC1110" s="169">
        <v>0</v>
      </c>
      <c r="AD1110" s="170">
        <v>0</v>
      </c>
    </row>
    <row r="1111" spans="28:30">
      <c r="AB1111" s="169">
        <v>0</v>
      </c>
      <c r="AC1111" s="169">
        <v>0</v>
      </c>
      <c r="AD1111" s="170">
        <v>0</v>
      </c>
    </row>
    <row r="1112" spans="28:30">
      <c r="AB1112" s="169">
        <v>0</v>
      </c>
      <c r="AC1112" s="169">
        <v>0</v>
      </c>
      <c r="AD1112" s="170">
        <v>0</v>
      </c>
    </row>
    <row r="1113" spans="28:30">
      <c r="AB1113" s="169">
        <v>0</v>
      </c>
      <c r="AC1113" s="169">
        <v>0</v>
      </c>
      <c r="AD1113" s="170">
        <v>0</v>
      </c>
    </row>
    <row r="1114" spans="28:30">
      <c r="AB1114" s="169">
        <v>0</v>
      </c>
      <c r="AC1114" s="169">
        <v>0</v>
      </c>
      <c r="AD1114" s="170">
        <v>0</v>
      </c>
    </row>
    <row r="1115" spans="28:30">
      <c r="AB1115" s="169">
        <v>0</v>
      </c>
      <c r="AC1115" s="169">
        <v>0</v>
      </c>
      <c r="AD1115" s="170">
        <v>0</v>
      </c>
    </row>
    <row r="1116" spans="28:30">
      <c r="AB1116" s="169">
        <v>0</v>
      </c>
      <c r="AC1116" s="169">
        <v>0</v>
      </c>
      <c r="AD1116" s="170">
        <v>0</v>
      </c>
    </row>
    <row r="1117" spans="28:30">
      <c r="AB1117" s="169">
        <v>0</v>
      </c>
      <c r="AC1117" s="169">
        <v>0</v>
      </c>
      <c r="AD1117" s="170">
        <v>0</v>
      </c>
    </row>
    <row r="1118" spans="28:30">
      <c r="AB1118" s="169">
        <v>0</v>
      </c>
      <c r="AC1118" s="169">
        <v>0</v>
      </c>
      <c r="AD1118" s="170">
        <v>0</v>
      </c>
    </row>
    <row r="1119" spans="28:30">
      <c r="AB1119" s="169">
        <v>0</v>
      </c>
      <c r="AC1119" s="169">
        <v>0</v>
      </c>
      <c r="AD1119" s="170">
        <v>0</v>
      </c>
    </row>
    <row r="1120" spans="28:30">
      <c r="AB1120" s="169">
        <v>0</v>
      </c>
      <c r="AC1120" s="169">
        <v>0</v>
      </c>
      <c r="AD1120" s="170">
        <v>0</v>
      </c>
    </row>
    <row r="1121" spans="28:30">
      <c r="AB1121" s="169">
        <v>0</v>
      </c>
      <c r="AC1121" s="169">
        <v>0</v>
      </c>
      <c r="AD1121" s="170">
        <v>0</v>
      </c>
    </row>
    <row r="1122" spans="28:30">
      <c r="AB1122" s="169">
        <v>0</v>
      </c>
      <c r="AC1122" s="169">
        <v>0</v>
      </c>
      <c r="AD1122" s="170">
        <v>0</v>
      </c>
    </row>
    <row r="1123" spans="28:30">
      <c r="AB1123" s="169">
        <v>0</v>
      </c>
      <c r="AC1123" s="169">
        <v>0</v>
      </c>
      <c r="AD1123" s="170">
        <v>0</v>
      </c>
    </row>
    <row r="1124" spans="28:30">
      <c r="AB1124" s="169">
        <v>0</v>
      </c>
      <c r="AC1124" s="169">
        <v>0</v>
      </c>
      <c r="AD1124" s="170">
        <v>0</v>
      </c>
    </row>
    <row r="1125" spans="28:30">
      <c r="AB1125" s="169">
        <v>0</v>
      </c>
      <c r="AC1125" s="169">
        <v>0</v>
      </c>
      <c r="AD1125" s="170">
        <v>0</v>
      </c>
    </row>
    <row r="1126" spans="28:30">
      <c r="AB1126" s="169">
        <v>0</v>
      </c>
      <c r="AC1126" s="169">
        <v>0</v>
      </c>
      <c r="AD1126" s="170">
        <v>0</v>
      </c>
    </row>
    <row r="1127" spans="28:30">
      <c r="AB1127" s="169">
        <v>0</v>
      </c>
      <c r="AC1127" s="169">
        <v>0</v>
      </c>
      <c r="AD1127" s="170">
        <v>0</v>
      </c>
    </row>
    <row r="1128" spans="28:30">
      <c r="AB1128" s="169">
        <v>0</v>
      </c>
      <c r="AC1128" s="169">
        <v>0</v>
      </c>
      <c r="AD1128" s="170">
        <v>0</v>
      </c>
    </row>
    <row r="1129" spans="28:30">
      <c r="AB1129" s="169">
        <v>0</v>
      </c>
      <c r="AC1129" s="169">
        <v>0</v>
      </c>
      <c r="AD1129" s="170">
        <v>0</v>
      </c>
    </row>
    <row r="1130" spans="28:30">
      <c r="AB1130" s="169">
        <v>0</v>
      </c>
      <c r="AC1130" s="169">
        <v>0</v>
      </c>
      <c r="AD1130" s="170">
        <v>0</v>
      </c>
    </row>
    <row r="1131" spans="28:30">
      <c r="AB1131" s="169">
        <v>0</v>
      </c>
      <c r="AC1131" s="169">
        <v>0</v>
      </c>
      <c r="AD1131" s="170">
        <v>0</v>
      </c>
    </row>
    <row r="1132" spans="28:30">
      <c r="AB1132" s="169">
        <v>0</v>
      </c>
      <c r="AC1132" s="169">
        <v>0</v>
      </c>
      <c r="AD1132" s="170">
        <v>0</v>
      </c>
    </row>
    <row r="1133" spans="28:30">
      <c r="AB1133" s="169">
        <v>0</v>
      </c>
      <c r="AC1133" s="169">
        <v>0</v>
      </c>
      <c r="AD1133" s="170">
        <v>0</v>
      </c>
    </row>
    <row r="1134" spans="28:30">
      <c r="AB1134" s="169">
        <v>0</v>
      </c>
      <c r="AC1134" s="169">
        <v>0</v>
      </c>
      <c r="AD1134" s="170">
        <v>0</v>
      </c>
    </row>
    <row r="1135" spans="28:30">
      <c r="AB1135" s="169">
        <v>0</v>
      </c>
      <c r="AC1135" s="169">
        <v>0</v>
      </c>
      <c r="AD1135" s="170">
        <v>0</v>
      </c>
    </row>
    <row r="1136" spans="28:30">
      <c r="AB1136" s="169">
        <v>0</v>
      </c>
      <c r="AC1136" s="169">
        <v>0</v>
      </c>
      <c r="AD1136" s="170">
        <v>0</v>
      </c>
    </row>
    <row r="1137" spans="28:30">
      <c r="AB1137" s="169">
        <v>0</v>
      </c>
      <c r="AC1137" s="169">
        <v>0</v>
      </c>
      <c r="AD1137" s="170">
        <v>0</v>
      </c>
    </row>
    <row r="1138" spans="28:30">
      <c r="AB1138" s="169">
        <v>0</v>
      </c>
      <c r="AC1138" s="169">
        <v>0</v>
      </c>
      <c r="AD1138" s="170">
        <v>0</v>
      </c>
    </row>
    <row r="1139" spans="28:30">
      <c r="AB1139" s="169">
        <v>0</v>
      </c>
      <c r="AC1139" s="169">
        <v>0</v>
      </c>
      <c r="AD1139" s="170">
        <v>0</v>
      </c>
    </row>
    <row r="1140" spans="28:30">
      <c r="AB1140" s="169">
        <v>0</v>
      </c>
      <c r="AC1140" s="169">
        <v>0</v>
      </c>
      <c r="AD1140" s="170">
        <v>0</v>
      </c>
    </row>
    <row r="1141" spans="28:30">
      <c r="AB1141" s="169">
        <v>0</v>
      </c>
      <c r="AC1141" s="169">
        <v>0</v>
      </c>
      <c r="AD1141" s="170">
        <v>0</v>
      </c>
    </row>
    <row r="1142" spans="28:30">
      <c r="AB1142" s="169">
        <v>0</v>
      </c>
      <c r="AC1142" s="169">
        <v>0</v>
      </c>
      <c r="AD1142" s="170">
        <v>0</v>
      </c>
    </row>
    <row r="1143" spans="28:30">
      <c r="AB1143" s="169">
        <v>0</v>
      </c>
      <c r="AC1143" s="169">
        <v>0</v>
      </c>
      <c r="AD1143" s="170">
        <v>0</v>
      </c>
    </row>
    <row r="1144" spans="28:30">
      <c r="AB1144" s="169">
        <v>0</v>
      </c>
      <c r="AC1144" s="169">
        <v>0</v>
      </c>
      <c r="AD1144" s="170">
        <v>0</v>
      </c>
    </row>
    <row r="1145" spans="28:30">
      <c r="AB1145" s="169">
        <v>0</v>
      </c>
      <c r="AC1145" s="169">
        <v>0</v>
      </c>
      <c r="AD1145" s="170">
        <v>0</v>
      </c>
    </row>
    <row r="1146" spans="28:30">
      <c r="AB1146" s="169">
        <v>0</v>
      </c>
      <c r="AC1146" s="169">
        <v>0</v>
      </c>
      <c r="AD1146" s="170">
        <v>0</v>
      </c>
    </row>
    <row r="1147" spans="28:30">
      <c r="AB1147" s="169">
        <v>0</v>
      </c>
      <c r="AC1147" s="169">
        <v>0</v>
      </c>
      <c r="AD1147" s="170">
        <v>0</v>
      </c>
    </row>
    <row r="1148" spans="28:30">
      <c r="AB1148" s="169">
        <v>0</v>
      </c>
      <c r="AC1148" s="169">
        <v>0</v>
      </c>
      <c r="AD1148" s="170">
        <v>0</v>
      </c>
    </row>
    <row r="1149" spans="28:30">
      <c r="AB1149" s="169">
        <v>0</v>
      </c>
      <c r="AC1149" s="169">
        <v>0</v>
      </c>
      <c r="AD1149" s="170">
        <v>0</v>
      </c>
    </row>
    <row r="1150" spans="28:30">
      <c r="AB1150" s="169">
        <v>0</v>
      </c>
      <c r="AC1150" s="169">
        <v>0</v>
      </c>
      <c r="AD1150" s="170">
        <v>0</v>
      </c>
    </row>
    <row r="1151" spans="28:30">
      <c r="AB1151" s="169">
        <v>0</v>
      </c>
      <c r="AC1151" s="169">
        <v>0</v>
      </c>
      <c r="AD1151" s="170">
        <v>0</v>
      </c>
    </row>
    <row r="1152" spans="28:30">
      <c r="AB1152" s="169">
        <v>0</v>
      </c>
      <c r="AC1152" s="169">
        <v>0</v>
      </c>
      <c r="AD1152" s="170">
        <v>0</v>
      </c>
    </row>
    <row r="1153" spans="28:30">
      <c r="AB1153" s="169">
        <v>0</v>
      </c>
      <c r="AC1153" s="169">
        <v>0</v>
      </c>
      <c r="AD1153" s="170">
        <v>0</v>
      </c>
    </row>
    <row r="1154" spans="28:30">
      <c r="AB1154" s="169">
        <v>0</v>
      </c>
      <c r="AC1154" s="169">
        <v>0</v>
      </c>
      <c r="AD1154" s="170">
        <v>0</v>
      </c>
    </row>
    <row r="1155" spans="28:30">
      <c r="AB1155" s="169">
        <v>0</v>
      </c>
      <c r="AC1155" s="169">
        <v>0</v>
      </c>
      <c r="AD1155" s="170">
        <v>0</v>
      </c>
    </row>
    <row r="1156" spans="28:30">
      <c r="AB1156" s="169">
        <v>0</v>
      </c>
      <c r="AC1156" s="169">
        <v>0</v>
      </c>
      <c r="AD1156" s="170">
        <v>0</v>
      </c>
    </row>
    <row r="1157" spans="28:30">
      <c r="AB1157" s="169">
        <v>0</v>
      </c>
      <c r="AC1157" s="169">
        <v>0</v>
      </c>
      <c r="AD1157" s="170">
        <v>0</v>
      </c>
    </row>
    <row r="1158" spans="28:30">
      <c r="AB1158" s="169">
        <v>0</v>
      </c>
      <c r="AC1158" s="169">
        <v>0</v>
      </c>
      <c r="AD1158" s="170">
        <v>0</v>
      </c>
    </row>
    <row r="1159" spans="28:30">
      <c r="AB1159" s="169">
        <v>0</v>
      </c>
      <c r="AC1159" s="169">
        <v>0</v>
      </c>
      <c r="AD1159" s="170">
        <v>0</v>
      </c>
    </row>
    <row r="1160" spans="28:30">
      <c r="AB1160" s="169">
        <v>0</v>
      </c>
      <c r="AC1160" s="169">
        <v>0</v>
      </c>
      <c r="AD1160" s="170">
        <v>0</v>
      </c>
    </row>
    <row r="1161" spans="28:30">
      <c r="AB1161" s="169">
        <v>0</v>
      </c>
      <c r="AC1161" s="169">
        <v>0</v>
      </c>
      <c r="AD1161" s="170">
        <v>0</v>
      </c>
    </row>
    <row r="1162" spans="28:30">
      <c r="AB1162" s="169">
        <v>0</v>
      </c>
      <c r="AC1162" s="169">
        <v>0</v>
      </c>
      <c r="AD1162" s="170">
        <v>0</v>
      </c>
    </row>
    <row r="1163" spans="28:30">
      <c r="AB1163" s="169">
        <v>0</v>
      </c>
      <c r="AC1163" s="169">
        <v>0</v>
      </c>
      <c r="AD1163" s="170">
        <v>0</v>
      </c>
    </row>
    <row r="1164" spans="28:30">
      <c r="AB1164" s="169">
        <v>0</v>
      </c>
      <c r="AC1164" s="169">
        <v>0</v>
      </c>
      <c r="AD1164" s="170">
        <v>0</v>
      </c>
    </row>
    <row r="1165" spans="28:30">
      <c r="AB1165" s="169">
        <v>0</v>
      </c>
      <c r="AC1165" s="169">
        <v>0</v>
      </c>
      <c r="AD1165" s="170">
        <v>0</v>
      </c>
    </row>
    <row r="1166" spans="28:30">
      <c r="AB1166" s="169">
        <v>0</v>
      </c>
      <c r="AC1166" s="169">
        <v>0</v>
      </c>
      <c r="AD1166" s="170">
        <v>0</v>
      </c>
    </row>
    <row r="1167" spans="28:30">
      <c r="AB1167" s="169">
        <v>0</v>
      </c>
      <c r="AC1167" s="169">
        <v>0</v>
      </c>
      <c r="AD1167" s="170">
        <v>0</v>
      </c>
    </row>
    <row r="1168" spans="28:30">
      <c r="AB1168" s="169">
        <v>0</v>
      </c>
      <c r="AC1168" s="169">
        <v>0</v>
      </c>
      <c r="AD1168" s="170">
        <v>0</v>
      </c>
    </row>
    <row r="1169" spans="28:30">
      <c r="AB1169" s="169">
        <v>0</v>
      </c>
      <c r="AC1169" s="169">
        <v>0</v>
      </c>
      <c r="AD1169" s="170">
        <v>0</v>
      </c>
    </row>
    <row r="1170" spans="28:30">
      <c r="AB1170" s="169">
        <v>0</v>
      </c>
      <c r="AC1170" s="169">
        <v>0</v>
      </c>
      <c r="AD1170" s="170">
        <v>0</v>
      </c>
    </row>
    <row r="1171" spans="28:30">
      <c r="AB1171" s="169">
        <v>0</v>
      </c>
      <c r="AC1171" s="169">
        <v>0</v>
      </c>
      <c r="AD1171" s="170">
        <v>0</v>
      </c>
    </row>
    <row r="1172" spans="28:30">
      <c r="AB1172" s="169">
        <v>0</v>
      </c>
      <c r="AC1172" s="169">
        <v>0</v>
      </c>
      <c r="AD1172" s="170">
        <v>0</v>
      </c>
    </row>
    <row r="1173" spans="28:30">
      <c r="AB1173" s="169">
        <v>0</v>
      </c>
      <c r="AC1173" s="169">
        <v>0</v>
      </c>
      <c r="AD1173" s="170">
        <v>0</v>
      </c>
    </row>
    <row r="1174" spans="28:30">
      <c r="AB1174" s="169">
        <v>0</v>
      </c>
      <c r="AC1174" s="169">
        <v>0</v>
      </c>
      <c r="AD1174" s="170">
        <v>0</v>
      </c>
    </row>
    <row r="1175" spans="28:30">
      <c r="AB1175" s="169">
        <v>0</v>
      </c>
      <c r="AC1175" s="169">
        <v>0</v>
      </c>
      <c r="AD1175" s="170">
        <v>0</v>
      </c>
    </row>
    <row r="1176" spans="28:30">
      <c r="AB1176" s="169">
        <v>0</v>
      </c>
      <c r="AC1176" s="169">
        <v>0</v>
      </c>
      <c r="AD1176" s="170">
        <v>0</v>
      </c>
    </row>
    <row r="1177" spans="28:30">
      <c r="AB1177" s="169">
        <v>0</v>
      </c>
      <c r="AC1177" s="169">
        <v>0</v>
      </c>
      <c r="AD1177" s="170">
        <v>0</v>
      </c>
    </row>
    <row r="1178" spans="28:30">
      <c r="AB1178" s="169">
        <v>0</v>
      </c>
      <c r="AC1178" s="169">
        <v>0</v>
      </c>
      <c r="AD1178" s="170">
        <v>0</v>
      </c>
    </row>
    <row r="1179" spans="28:30">
      <c r="AB1179" s="169">
        <v>0</v>
      </c>
      <c r="AC1179" s="169">
        <v>0</v>
      </c>
      <c r="AD1179" s="170">
        <v>0</v>
      </c>
    </row>
    <row r="1180" spans="28:30">
      <c r="AB1180" s="169">
        <v>0</v>
      </c>
      <c r="AC1180" s="169">
        <v>0</v>
      </c>
      <c r="AD1180" s="170">
        <v>0</v>
      </c>
    </row>
    <row r="1181" spans="28:30">
      <c r="AB1181" s="169">
        <v>0</v>
      </c>
      <c r="AC1181" s="169">
        <v>0</v>
      </c>
      <c r="AD1181" s="170">
        <v>0</v>
      </c>
    </row>
    <row r="1182" spans="28:30">
      <c r="AB1182" s="169">
        <v>0</v>
      </c>
      <c r="AC1182" s="169">
        <v>0</v>
      </c>
      <c r="AD1182" s="170">
        <v>0</v>
      </c>
    </row>
    <row r="1183" spans="28:30">
      <c r="AB1183" s="169">
        <v>0</v>
      </c>
      <c r="AC1183" s="169">
        <v>0</v>
      </c>
      <c r="AD1183" s="170">
        <v>0</v>
      </c>
    </row>
    <row r="1184" spans="28:30">
      <c r="AB1184" s="169">
        <v>0</v>
      </c>
      <c r="AC1184" s="169">
        <v>0</v>
      </c>
      <c r="AD1184" s="170">
        <v>0</v>
      </c>
    </row>
    <row r="1185" spans="28:30">
      <c r="AB1185" s="169">
        <v>0</v>
      </c>
      <c r="AC1185" s="169">
        <v>0</v>
      </c>
      <c r="AD1185" s="170">
        <v>0</v>
      </c>
    </row>
    <row r="1186" spans="28:30">
      <c r="AB1186" s="169">
        <v>0</v>
      </c>
      <c r="AC1186" s="169">
        <v>0</v>
      </c>
      <c r="AD1186" s="170">
        <v>0</v>
      </c>
    </row>
    <row r="1187" spans="28:30">
      <c r="AB1187" s="169">
        <v>0</v>
      </c>
      <c r="AC1187" s="169">
        <v>0</v>
      </c>
      <c r="AD1187" s="170">
        <v>0</v>
      </c>
    </row>
    <row r="1188" spans="28:30">
      <c r="AB1188" s="169">
        <v>0</v>
      </c>
      <c r="AC1188" s="169">
        <v>0</v>
      </c>
      <c r="AD1188" s="170">
        <v>0</v>
      </c>
    </row>
    <row r="1189" spans="28:30">
      <c r="AB1189" s="169">
        <v>0</v>
      </c>
      <c r="AC1189" s="169">
        <v>0</v>
      </c>
      <c r="AD1189" s="170">
        <v>0</v>
      </c>
    </row>
    <row r="1190" spans="28:30">
      <c r="AB1190" s="169">
        <v>0</v>
      </c>
      <c r="AC1190" s="169">
        <v>0</v>
      </c>
      <c r="AD1190" s="170">
        <v>0</v>
      </c>
    </row>
    <row r="1191" spans="28:30">
      <c r="AB1191" s="169">
        <v>0</v>
      </c>
      <c r="AC1191" s="169">
        <v>0</v>
      </c>
      <c r="AD1191" s="170">
        <v>0</v>
      </c>
    </row>
    <row r="1192" spans="28:30">
      <c r="AB1192" s="169">
        <v>0</v>
      </c>
      <c r="AC1192" s="169">
        <v>0</v>
      </c>
      <c r="AD1192" s="170">
        <v>0</v>
      </c>
    </row>
    <row r="1193" spans="28:30">
      <c r="AB1193" s="169">
        <v>0</v>
      </c>
      <c r="AC1193" s="169">
        <v>0</v>
      </c>
      <c r="AD1193" s="170">
        <v>0</v>
      </c>
    </row>
    <row r="1194" spans="28:30">
      <c r="AB1194" s="169">
        <v>0</v>
      </c>
      <c r="AC1194" s="169">
        <v>0</v>
      </c>
      <c r="AD1194" s="170">
        <v>0</v>
      </c>
    </row>
    <row r="1195" spans="28:30">
      <c r="AB1195" s="169">
        <v>0</v>
      </c>
      <c r="AC1195" s="169">
        <v>0</v>
      </c>
      <c r="AD1195" s="170">
        <v>0</v>
      </c>
    </row>
    <row r="1196" spans="28:30">
      <c r="AB1196" s="169">
        <v>0</v>
      </c>
      <c r="AC1196" s="169">
        <v>0</v>
      </c>
      <c r="AD1196" s="170">
        <v>0</v>
      </c>
    </row>
    <row r="1197" spans="28:30">
      <c r="AB1197" s="169">
        <v>0</v>
      </c>
      <c r="AC1197" s="169">
        <v>0</v>
      </c>
      <c r="AD1197" s="170">
        <v>0</v>
      </c>
    </row>
    <row r="1198" spans="28:30">
      <c r="AB1198" s="169">
        <v>0</v>
      </c>
      <c r="AC1198" s="169">
        <v>0</v>
      </c>
      <c r="AD1198" s="170">
        <v>0</v>
      </c>
    </row>
    <row r="1199" spans="28:30">
      <c r="AB1199" s="169">
        <v>0</v>
      </c>
      <c r="AC1199" s="169">
        <v>0</v>
      </c>
      <c r="AD1199" s="170">
        <v>0</v>
      </c>
    </row>
    <row r="1200" spans="28:30">
      <c r="AB1200" s="169">
        <v>0</v>
      </c>
      <c r="AC1200" s="169">
        <v>0</v>
      </c>
      <c r="AD1200" s="170">
        <v>0</v>
      </c>
    </row>
    <row r="1201" spans="28:30">
      <c r="AB1201" s="169">
        <v>0</v>
      </c>
      <c r="AC1201" s="169">
        <v>0</v>
      </c>
      <c r="AD1201" s="170">
        <v>0</v>
      </c>
    </row>
    <row r="1202" spans="28:30">
      <c r="AB1202" s="169">
        <v>0</v>
      </c>
      <c r="AC1202" s="169">
        <v>0</v>
      </c>
      <c r="AD1202" s="170">
        <v>0</v>
      </c>
    </row>
    <row r="1203" spans="28:30">
      <c r="AB1203" s="169">
        <v>0</v>
      </c>
      <c r="AC1203" s="169">
        <v>0</v>
      </c>
      <c r="AD1203" s="170">
        <v>0</v>
      </c>
    </row>
    <row r="1204" spans="28:30">
      <c r="AB1204" s="169">
        <v>0</v>
      </c>
      <c r="AC1204" s="169">
        <v>0</v>
      </c>
      <c r="AD1204" s="170">
        <v>0</v>
      </c>
    </row>
    <row r="1205" spans="28:30">
      <c r="AB1205" s="169">
        <v>0</v>
      </c>
      <c r="AC1205" s="169">
        <v>0</v>
      </c>
      <c r="AD1205" s="170">
        <v>0</v>
      </c>
    </row>
    <row r="1206" spans="28:30">
      <c r="AB1206" s="169">
        <v>0</v>
      </c>
      <c r="AC1206" s="169">
        <v>0</v>
      </c>
      <c r="AD1206" s="170">
        <v>0</v>
      </c>
    </row>
    <row r="1207" spans="28:30">
      <c r="AB1207" s="169">
        <v>0</v>
      </c>
      <c r="AC1207" s="169">
        <v>0</v>
      </c>
      <c r="AD1207" s="170">
        <v>0</v>
      </c>
    </row>
    <row r="1208" spans="28:30">
      <c r="AB1208" s="169">
        <v>0</v>
      </c>
      <c r="AC1208" s="169">
        <v>0</v>
      </c>
      <c r="AD1208" s="170">
        <v>0</v>
      </c>
    </row>
    <row r="1209" spans="28:30">
      <c r="AB1209" s="169">
        <v>0</v>
      </c>
      <c r="AC1209" s="169">
        <v>0</v>
      </c>
      <c r="AD1209" s="170">
        <v>0</v>
      </c>
    </row>
    <row r="1210" spans="28:30">
      <c r="AB1210" s="169">
        <v>0</v>
      </c>
      <c r="AC1210" s="169">
        <v>0</v>
      </c>
      <c r="AD1210" s="170">
        <v>0</v>
      </c>
    </row>
    <row r="1211" spans="28:30">
      <c r="AB1211" s="169">
        <v>0</v>
      </c>
      <c r="AC1211" s="169">
        <v>0</v>
      </c>
      <c r="AD1211" s="170">
        <v>0</v>
      </c>
    </row>
    <row r="1212" spans="28:30">
      <c r="AB1212" s="169">
        <v>0</v>
      </c>
      <c r="AC1212" s="169">
        <v>0</v>
      </c>
      <c r="AD1212" s="170">
        <v>0</v>
      </c>
    </row>
    <row r="1213" spans="28:30">
      <c r="AB1213" s="169">
        <v>0</v>
      </c>
      <c r="AC1213" s="169">
        <v>0</v>
      </c>
      <c r="AD1213" s="170">
        <v>0</v>
      </c>
    </row>
    <row r="1214" spans="28:30">
      <c r="AB1214" s="169">
        <v>0</v>
      </c>
      <c r="AC1214" s="169">
        <v>0</v>
      </c>
      <c r="AD1214" s="170">
        <v>0</v>
      </c>
    </row>
    <row r="1215" spans="28:30">
      <c r="AB1215" s="169">
        <v>0</v>
      </c>
      <c r="AC1215" s="169">
        <v>0</v>
      </c>
      <c r="AD1215" s="170">
        <v>0</v>
      </c>
    </row>
    <row r="1216" spans="28:30">
      <c r="AB1216" s="169">
        <v>0</v>
      </c>
      <c r="AC1216" s="169">
        <v>0</v>
      </c>
      <c r="AD1216" s="170">
        <v>0</v>
      </c>
    </row>
  </sheetData>
  <conditionalFormatting sqref="G29:G31">
    <cfRule type="cellIs" dxfId="15" priority="24" operator="notBetween">
      <formula>-0.001</formula>
      <formula>0.001</formula>
    </cfRule>
  </conditionalFormatting>
  <conditionalFormatting sqref="G36:G38">
    <cfRule type="cellIs" dxfId="14" priority="23" operator="notBetween">
      <formula>-0.001</formula>
      <formula>0.001</formula>
    </cfRule>
  </conditionalFormatting>
  <conditionalFormatting sqref="G48:G53">
    <cfRule type="cellIs" dxfId="13" priority="22" operator="notBetween">
      <formula>-0.001</formula>
      <formula>0.001</formula>
    </cfRule>
  </conditionalFormatting>
  <conditionalFormatting sqref="G60:G61">
    <cfRule type="cellIs" dxfId="12" priority="21" operator="notBetween">
      <formula>-0.001</formula>
      <formula>0.001</formula>
    </cfRule>
  </conditionalFormatting>
  <conditionalFormatting sqref="G67:G72">
    <cfRule type="cellIs" dxfId="11" priority="10" operator="notBetween">
      <formula>-0.001</formula>
      <formula>0.001</formula>
    </cfRule>
  </conditionalFormatting>
  <conditionalFormatting sqref="G76:G79">
    <cfRule type="cellIs" dxfId="10" priority="9" operator="notBetween">
      <formula>-0.001</formula>
      <formula>0.001</formula>
    </cfRule>
  </conditionalFormatting>
  <conditionalFormatting sqref="G81:G84">
    <cfRule type="cellIs" dxfId="9" priority="19" operator="notBetween">
      <formula>-0.001</formula>
      <formula>0.001</formula>
    </cfRule>
  </conditionalFormatting>
  <conditionalFormatting sqref="G86:G92">
    <cfRule type="cellIs" dxfId="8" priority="7" operator="notBetween">
      <formula>-0.001</formula>
      <formula>0.001</formula>
    </cfRule>
  </conditionalFormatting>
  <conditionalFormatting sqref="G94:G95">
    <cfRule type="cellIs" dxfId="7" priority="17" operator="notBetween">
      <formula>-0.001</formula>
      <formula>0.001</formula>
    </cfRule>
  </conditionalFormatting>
  <conditionalFormatting sqref="G97:G101">
    <cfRule type="cellIs" dxfId="6" priority="16" operator="notBetween">
      <formula>-0.001</formula>
      <formula>0.001</formula>
    </cfRule>
  </conditionalFormatting>
  <conditionalFormatting sqref="G104">
    <cfRule type="cellIs" dxfId="5" priority="15" operator="notBetween">
      <formula>-0.001</formula>
      <formula>0.001</formula>
    </cfRule>
  </conditionalFormatting>
  <conditionalFormatting sqref="G106:G108">
    <cfRule type="cellIs" dxfId="4" priority="14" operator="notBetween">
      <formula>-0.001</formula>
      <formula>0.001</formula>
    </cfRule>
  </conditionalFormatting>
  <conditionalFormatting sqref="G110">
    <cfRule type="cellIs" dxfId="3" priority="3" operator="notBetween">
      <formula>-0.001</formula>
      <formula>0.001</formula>
    </cfRule>
  </conditionalFormatting>
  <conditionalFormatting sqref="G112:G113">
    <cfRule type="cellIs" dxfId="2" priority="13" operator="notBetween">
      <formula>-0.001</formula>
      <formula>0.001</formula>
    </cfRule>
  </conditionalFormatting>
  <conditionalFormatting sqref="G117:G133">
    <cfRule type="cellIs" dxfId="1" priority="4" operator="notBetween">
      <formula>-0.001</formula>
      <formula>0.001</formula>
    </cfRule>
  </conditionalFormatting>
  <conditionalFormatting sqref="G135">
    <cfRule type="cellIs" dxfId="0" priority="1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>
                <anchor moveWithCells="1" sizeWithCells="1">
                  <from>
                    <xdr:col>13</xdr:col>
                    <xdr:colOff>95250</xdr:colOff>
                    <xdr:row>2</xdr:row>
                    <xdr:rowOff>152400</xdr:rowOff>
                  </from>
                  <to>
                    <xdr:col>15</xdr:col>
                    <xdr:colOff>333375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375</vt:i4>
      </vt:variant>
    </vt:vector>
  </HeadingPairs>
  <TitlesOfParts>
    <vt:vector size="380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Gap120deg!Damage</vt:lpstr>
      <vt:lpstr>Gap30deg!Damage</vt:lpstr>
      <vt:lpstr>Gap60deg!Damage</vt:lpstr>
      <vt:lpstr>Gap90deg!Damage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Gap120deg!DZ_gap_c</vt:lpstr>
      <vt:lpstr>Gap30deg!DZ_gap_c</vt:lpstr>
      <vt:lpstr>Gap60deg!DZ_gap_c</vt:lpstr>
      <vt:lpstr>Gap90deg!DZ_gap_c</vt:lpstr>
      <vt:lpstr>Gap120deg!DZ_gap_inclination</vt:lpstr>
      <vt:lpstr>Gap30deg!DZ_gap_inclination</vt:lpstr>
      <vt:lpstr>Gap60deg!DZ_gap_inclination</vt:lpstr>
      <vt:lpstr>Gap90deg!DZ_gap_inclination</vt:lpstr>
      <vt:lpstr>Gap120deg!DZ_gap_tot</vt:lpstr>
      <vt:lpstr>Gap30deg!DZ_gap_tot</vt:lpstr>
      <vt:lpstr>Gap60deg!DZ_gap_tot</vt:lpstr>
      <vt:lpstr>Gap90deg!DZ_gap_tot</vt:lpstr>
      <vt:lpstr>Gap120deg!DZdwDZ</vt:lpstr>
      <vt:lpstr>Gap30deg!DZdwDZ</vt:lpstr>
      <vt:lpstr>Gap60deg!DZdwDZ</vt:lpstr>
      <vt:lpstr>Gap90deg!DZdwDZ</vt:lpstr>
      <vt:lpstr>Gap120deg!E_mod</vt:lpstr>
      <vt:lpstr>Gap30deg!E_mod</vt:lpstr>
      <vt:lpstr>Gap60deg!E_mod</vt:lpstr>
      <vt:lpstr>Gap90deg!E_mod</vt:lpstr>
      <vt:lpstr>Gap120deg!F_V_c</vt:lpstr>
      <vt:lpstr>Gap30deg!F_V_c</vt:lpstr>
      <vt:lpstr>Gap60deg!F_V_c</vt:lpstr>
      <vt:lpstr>Gap90deg!F_V_c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Gap120deg!MZT1_</vt:lpstr>
      <vt:lpstr>Gap30deg!MZT1_</vt:lpstr>
      <vt:lpstr>Gap60deg!MZT1_</vt:lpstr>
      <vt:lpstr>Gap90deg!MZT1_</vt:lpstr>
      <vt:lpstr>Gap120deg!MZT2_</vt:lpstr>
      <vt:lpstr>Gap30deg!MZT2_</vt:lpstr>
      <vt:lpstr>Gap60deg!MZT2_</vt:lpstr>
      <vt:lpstr>Gap90deg!MZT2_</vt:lpstr>
      <vt:lpstr>Gap120deg!MZThigh1</vt:lpstr>
      <vt:lpstr>Gap30deg!MZThigh1</vt:lpstr>
      <vt:lpstr>Gap60deg!MZThigh1</vt:lpstr>
      <vt:lpstr>Gap90deg!MZThigh1</vt:lpstr>
      <vt:lpstr>Gap120deg!MZThigh2</vt:lpstr>
      <vt:lpstr>Gap30deg!MZThigh2</vt:lpstr>
      <vt:lpstr>Gap60deg!MZThigh2</vt:lpstr>
      <vt:lpstr>Gap90deg!MZThigh2</vt:lpstr>
      <vt:lpstr>Gap120deg!MZTlow1</vt:lpstr>
      <vt:lpstr>Gap30deg!MZTlow1</vt:lpstr>
      <vt:lpstr>Gap60deg!MZTlow1</vt:lpstr>
      <vt:lpstr>Gap90deg!MZTlow1</vt:lpstr>
      <vt:lpstr>Gap120deg!MZTlow2</vt:lpstr>
      <vt:lpstr>Gap30deg!MZTlow2</vt:lpstr>
      <vt:lpstr>Gap60deg!MZTlow2</vt:lpstr>
      <vt:lpstr>Gap90deg!MZTlow2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Gap120deg!Print_Area</vt:lpstr>
      <vt:lpstr>Gap30deg!Print_Area</vt:lpstr>
      <vt:lpstr>Gap60deg!Print_Area</vt:lpstr>
      <vt:lpstr>Gap90deg!Print_Area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Gap120deg!Z_2_td</vt:lpstr>
      <vt:lpstr>Gap30deg!Z_2_td</vt:lpstr>
      <vt:lpstr>Gap60deg!Z_2_td</vt:lpstr>
      <vt:lpstr>Gap90deg!Z_2_td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Niklas Sellmann</cp:lastModifiedBy>
  <dcterms:created xsi:type="dcterms:W3CDTF">2024-03-07T08:42:31Z</dcterms:created>
  <dcterms:modified xsi:type="dcterms:W3CDTF">2024-08-26T06:26:05Z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