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3FC118D5-999F-4104-B2F1-64DCB9990E88}" xr6:coauthVersionLast="47" xr6:coauthVersionMax="47" xr10:uidLastSave="{00000000-0000-0000-0000-000000000000}"/>
  <bookViews>
    <workbookView xWindow="-28920" yWindow="15" windowWidth="29040" windowHeight="1752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7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PyFlange_Gap120deg!$J$162</definedName>
    <definedName name="a_prime" localSheetId="1">PyFlange_Gap30deg!$J$162</definedName>
    <definedName name="a_prime" localSheetId="2">PyFlange_Gap60deg!$J$162</definedName>
    <definedName name="a_prime" localSheetId="3">PyFlange_Gap90deg!$J$162</definedName>
    <definedName name="a_star" localSheetId="4">PyFlange_Gap120deg!$J$163</definedName>
    <definedName name="a_star" localSheetId="1">PyFlange_Gap30deg!$J$163</definedName>
    <definedName name="a_star" localSheetId="2">PyFlange_Gap60deg!$J$163</definedName>
    <definedName name="a_star" localSheetId="3">PyFlange_Gap90deg!$J$163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PyFlange_Gap120deg!$J$158</definedName>
    <definedName name="bolt.As" localSheetId="1">PyFlange_Gap30deg!$J$158</definedName>
    <definedName name="bolt.As" localSheetId="2">PyFlange_Gap60deg!$J$158</definedName>
    <definedName name="bolt.As" localSheetId="3">PyFlange_Gap90deg!$J$158</definedName>
    <definedName name="bolt.axial_stiffness" localSheetId="4">PyFlange_Gap120deg!$J$156</definedName>
    <definedName name="bolt.axial_stiffness" localSheetId="1">PyFlange_Gap30deg!$J$156</definedName>
    <definedName name="bolt.axial_stiffness" localSheetId="2">PyFlange_Gap60deg!$J$156</definedName>
    <definedName name="bolt.axial_stiffness" localSheetId="3">PyFlange_Gap90deg!$J$156</definedName>
    <definedName name="bolt.bending_stiffness" localSheetId="4">PyFlange_Gap120deg!$J$157</definedName>
    <definedName name="bolt.bending_stiffness" localSheetId="1">PyFlange_Gap30deg!$J$157</definedName>
    <definedName name="bolt.bending_stiffness" localSheetId="2">PyFlange_Gap60deg!$J$157</definedName>
    <definedName name="bolt.bending_stiffness" localSheetId="3">PyFlange_Gap90deg!$J$157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>#REF!</definedName>
    <definedName name="CellGraph10">#REF!</definedName>
    <definedName name="CellGraph11">#REF!</definedName>
    <definedName name="CellGraph12">#REF!</definedName>
    <definedName name="CellGraph2">#REF!</definedName>
    <definedName name="CellGraph3">#REF!</definedName>
    <definedName name="CellGraph4">#REF!</definedName>
    <definedName name="CellGraph5">#REF!</definedName>
    <definedName name="CellGraph6">#REF!</definedName>
    <definedName name="CellGraph7">#REF!</definedName>
    <definedName name="CellGraph8">#REF!</definedName>
    <definedName name="CellGraph9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PyFlange_Gap120deg!$J$165</definedName>
    <definedName name="clamped_parts_stiffness" localSheetId="1">PyFlange_Gap30deg!$J$165</definedName>
    <definedName name="clamped_parts_stiffness" localSheetId="2">PyFlange_Gap60deg!$J$165</definedName>
    <definedName name="clamped_parts_stiffness" localSheetId="3">PyFlange_Gap90deg!$J$165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PyFlange_Gap120deg!$J$149</definedName>
    <definedName name="DZ_gap" localSheetId="1">PyFlange_Gap30deg!$J$149</definedName>
    <definedName name="DZ_gap" localSheetId="2">PyFlange_Gap60deg!$J$149</definedName>
    <definedName name="DZ_gap" localSheetId="3">PyFlange_Gap90deg!$J$149</definedName>
    <definedName name="DZ_gap_inclination" localSheetId="4">PyFlange_Gap120deg!$J$148</definedName>
    <definedName name="DZ_gap_inclination" localSheetId="1">PyFlange_Gap30deg!$J$148</definedName>
    <definedName name="DZ_gap_inclination" localSheetId="2">PyFlange_Gap60deg!$J$148</definedName>
    <definedName name="DZ_gap_inclination" localSheetId="3">PyFlange_Gap90deg!$J$148</definedName>
    <definedName name="DZ_gap_tot" localSheetId="4">PyFlange_Gap120deg!$J$150</definedName>
    <definedName name="DZ_gap_tot" localSheetId="1">PyFlange_Gap30deg!$J$150</definedName>
    <definedName name="DZ_gap_tot" localSheetId="2">PyFlange_Gap60deg!$J$150</definedName>
    <definedName name="DZ_gap_tot" localSheetId="3">PyFlange_Gap90deg!$J$150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PyFlange_Gap120deg!$J$161</definedName>
    <definedName name="gap.angle" localSheetId="1">PyFlange_Gap30deg!$J$161</definedName>
    <definedName name="gap.angle" localSheetId="2">PyFlange_Gap60deg!$J$161</definedName>
    <definedName name="gap.angle" localSheetId="3">PyFlange_Gap90deg!$J$161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PyFlange_Gap120deg!$J$164</definedName>
    <definedName name="I_tg" localSheetId="1">PyFlange_Gap30deg!$J$164</definedName>
    <definedName name="I_tg" localSheetId="2">PyFlange_Gap60deg!$J$164</definedName>
    <definedName name="I_tg" localSheetId="3">PyFlange_Gap90deg!$J$164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PyFlange_Gap120deg!$J$153</definedName>
    <definedName name="polynomial_initial_slope" localSheetId="1">PyFlange_Gap30deg!$J$153</definedName>
    <definedName name="polynomial_initial_slope" localSheetId="2">PyFlange_Gap60deg!$J$153</definedName>
    <definedName name="polynomial_initial_slope" localSheetId="3">PyFlange_Gap90deg!$J$153</definedName>
    <definedName name="_xlnm.Print_Area" localSheetId="4">PyFlange_Gap120deg!$A$11:$K$177</definedName>
    <definedName name="_xlnm.Print_Area" localSheetId="1">PyFlange_Gap30deg!$A$11:$K$177</definedName>
    <definedName name="_xlnm.Print_Area" localSheetId="2">PyFlange_Gap60deg!$A$11:$K$177</definedName>
    <definedName name="_xlnm.Print_Area" localSheetId="3">PyFlange_Gap90deg!$A$11:$K$177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PyFlange_Gap120deg!$J$166</definedName>
    <definedName name="true_force_initial_slope" localSheetId="1">PyFlange_Gap30deg!$J$166</definedName>
    <definedName name="true_force_initial_slope" localSheetId="2">PyFlange_Gap60deg!$J$166</definedName>
    <definedName name="true_force_initial_slope" localSheetId="3">PyFlange_Gap90deg!$J$166</definedName>
    <definedName name="true_moment_initial_slope" localSheetId="4">PyFlange_Gap120deg!$J$167</definedName>
    <definedName name="true_moment_initial_slope" localSheetId="1">PyFlange_Gap30deg!$J$167</definedName>
    <definedName name="true_moment_initial_slope" localSheetId="2">PyFlange_Gap60deg!$J$167</definedName>
    <definedName name="true_moment_initial_slope" localSheetId="3">PyFlange_Gap90deg!$J$167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PyFlange_Gap120deg!$J$147</definedName>
    <definedName name="Z_2_td" localSheetId="1">PyFlange_Gap30deg!$J$147</definedName>
    <definedName name="Z_2_td" localSheetId="2">PyFlange_Gap60deg!$J$147</definedName>
    <definedName name="Z_2_td" localSheetId="3">PyFlange_Gap90deg!$J$147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6" l="1"/>
  <c r="E61" i="16" s="1" a="1"/>
  <c r="E61" i="16" s="1"/>
  <c r="F63" i="16" a="1"/>
  <c r="F63" i="16" l="1"/>
  <c r="G63" i="16" s="1"/>
  <c r="E13" i="16" a="1"/>
  <c r="E13" i="16" s="1"/>
  <c r="E47" i="16" a="1"/>
  <c r="E47" i="16" s="1"/>
  <c r="E88" i="16" a="1"/>
  <c r="E88" i="16" s="1"/>
  <c r="E50" i="16" a="1"/>
  <c r="E50" i="16" s="1"/>
  <c r="E89" i="16" a="1"/>
  <c r="E89" i="16" s="1"/>
  <c r="E79" i="16" a="1"/>
  <c r="E79" i="16" s="1"/>
  <c r="E106" i="16" a="1"/>
  <c r="E106" i="16" s="1"/>
  <c r="E35" i="16" a="1"/>
  <c r="E35" i="16" s="1"/>
  <c r="E107" i="16" a="1"/>
  <c r="E107" i="16" s="1"/>
  <c r="E36" i="16" a="1"/>
  <c r="E36" i="16" s="1"/>
  <c r="E69" i="16" a="1"/>
  <c r="E69" i="16" s="1"/>
  <c r="E108" i="16" a="1"/>
  <c r="E108" i="16" s="1"/>
  <c r="E8" i="16" a="1"/>
  <c r="E8" i="16" s="1"/>
  <c r="E22" i="16" a="1"/>
  <c r="E22" i="16" s="1"/>
  <c r="E37" i="16" a="1"/>
  <c r="E37" i="16" s="1"/>
  <c r="E56" i="16" a="1"/>
  <c r="E56" i="16" s="1"/>
  <c r="E70" i="16" a="1"/>
  <c r="E70" i="16" s="1"/>
  <c r="E82" i="16" a="1"/>
  <c r="E82" i="16" s="1"/>
  <c r="E98" i="16" a="1"/>
  <c r="E98" i="16" s="1"/>
  <c r="E109" i="16" a="1"/>
  <c r="E109" i="16" s="1"/>
  <c r="E28" i="16" a="1"/>
  <c r="E28" i="16" s="1"/>
  <c r="E75" i="16" a="1"/>
  <c r="E75" i="16" s="1"/>
  <c r="E14" i="16" a="1"/>
  <c r="E14" i="16" s="1"/>
  <c r="E64" i="16" a="1"/>
  <c r="E64" i="16" s="1"/>
  <c r="E103" i="16" a="1"/>
  <c r="E103" i="16" s="1"/>
  <c r="E15" i="16" a="1"/>
  <c r="E15" i="16" s="1"/>
  <c r="E65" i="16" a="1"/>
  <c r="E65" i="16" s="1"/>
  <c r="E104" i="16" a="1"/>
  <c r="E104" i="16" s="1"/>
  <c r="E33" i="16" a="1"/>
  <c r="E33" i="16" s="1"/>
  <c r="E52" i="16" a="1"/>
  <c r="E52" i="16" s="1"/>
  <c r="E78" i="16" a="1"/>
  <c r="E78" i="16" s="1"/>
  <c r="E91" i="16" a="1"/>
  <c r="E91" i="16" s="1"/>
  <c r="E17" i="16" a="1"/>
  <c r="E17" i="16" s="1"/>
  <c r="E67" i="16" a="1"/>
  <c r="E67" i="16" s="1"/>
  <c r="E92" i="16" a="1"/>
  <c r="E92" i="16" s="1"/>
  <c r="E20" i="16" a="1"/>
  <c r="E20" i="16" s="1"/>
  <c r="E68" i="16" a="1"/>
  <c r="E68" i="16" s="1"/>
  <c r="E96" i="16" a="1"/>
  <c r="E96" i="16" s="1"/>
  <c r="E21" i="16" a="1"/>
  <c r="E21" i="16" s="1"/>
  <c r="E55" i="16" a="1"/>
  <c r="E55" i="16" s="1"/>
  <c r="E81" i="16" a="1"/>
  <c r="E81" i="16" s="1"/>
  <c r="E97" i="16" a="1"/>
  <c r="E97" i="16" s="1"/>
  <c r="E9" i="16" a="1"/>
  <c r="E9" i="16" s="1"/>
  <c r="E23" i="16" a="1"/>
  <c r="E23" i="16" s="1"/>
  <c r="E38" i="16" a="1"/>
  <c r="E38" i="16" s="1"/>
  <c r="E57" i="16" a="1"/>
  <c r="E57" i="16" s="1"/>
  <c r="E71" i="16" a="1"/>
  <c r="E71" i="16" s="1"/>
  <c r="E83" i="16" a="1"/>
  <c r="E83" i="16" s="1"/>
  <c r="E99" i="16" a="1"/>
  <c r="E99" i="16" s="1"/>
  <c r="E110" i="16" a="1"/>
  <c r="E110" i="16" s="1"/>
  <c r="E10" i="16" a="1"/>
  <c r="E10" i="16" s="1"/>
  <c r="E24" i="16" a="1"/>
  <c r="E24" i="16" s="1"/>
  <c r="E58" i="16" a="1"/>
  <c r="E58" i="16" s="1"/>
  <c r="E85" i="16" a="1"/>
  <c r="E85" i="16" s="1"/>
  <c r="E111" i="16" a="1"/>
  <c r="E111" i="16" s="1"/>
  <c r="E11" i="16" a="1"/>
  <c r="E11" i="16" s="1"/>
  <c r="E26" i="16" a="1"/>
  <c r="E26" i="16" s="1"/>
  <c r="E45" i="16" a="1"/>
  <c r="E45" i="16" s="1"/>
  <c r="E59" i="16" a="1"/>
  <c r="E59" i="16" s="1"/>
  <c r="E73" i="16" a="1"/>
  <c r="E73" i="16" s="1"/>
  <c r="E86" i="16" a="1"/>
  <c r="E86" i="16" s="1"/>
  <c r="E100" i="16" a="1"/>
  <c r="E100" i="16" s="1"/>
  <c r="E112" i="16" a="1"/>
  <c r="E112" i="16" s="1"/>
  <c r="E63" i="16" a="1"/>
  <c r="E63" i="16" s="1"/>
  <c r="E102" i="16" a="1"/>
  <c r="E102" i="16" s="1"/>
  <c r="E29" i="16" a="1"/>
  <c r="E29" i="16" s="1"/>
  <c r="E76" i="16" a="1"/>
  <c r="E76" i="16" s="1"/>
  <c r="E30" i="16" a="1"/>
  <c r="E30" i="16" s="1"/>
  <c r="E51" i="16" a="1"/>
  <c r="E51" i="16" s="1"/>
  <c r="E77" i="16" a="1"/>
  <c r="E77" i="16" s="1"/>
  <c r="E16" i="16" a="1"/>
  <c r="E16" i="16" s="1"/>
  <c r="E66" i="16" a="1"/>
  <c r="E66" i="16" s="1"/>
  <c r="E105" i="16" a="1"/>
  <c r="E105" i="16" s="1"/>
  <c r="E34" i="16" a="1"/>
  <c r="E34" i="16" s="1"/>
  <c r="E53" i="16" a="1"/>
  <c r="E53" i="16" s="1"/>
  <c r="E6" i="16" a="1"/>
  <c r="E6" i="16" s="1"/>
  <c r="E54" i="16" a="1"/>
  <c r="E54" i="16" s="1"/>
  <c r="E80" i="16" a="1"/>
  <c r="E80" i="16" s="1"/>
  <c r="E39" i="16" a="1"/>
  <c r="E39" i="16" s="1"/>
  <c r="E72" i="16" a="1"/>
  <c r="E72" i="16" s="1"/>
  <c r="E12" i="16" a="1"/>
  <c r="E12" i="16" s="1"/>
  <c r="E27" i="16" a="1"/>
  <c r="E27" i="16" s="1"/>
  <c r="E46" i="16" a="1"/>
  <c r="E46" i="16" s="1"/>
  <c r="E62" i="16" a="1"/>
  <c r="E62" i="16" s="1"/>
  <c r="E74" i="16" a="1"/>
  <c r="E74" i="16" s="1"/>
  <c r="E87" i="16" a="1"/>
  <c r="E87" i="16" s="1"/>
  <c r="E101" i="16" a="1"/>
  <c r="E101" i="16" s="1"/>
  <c r="E114" i="16" a="1"/>
  <c r="E114" i="16" s="1"/>
  <c r="E18" i="16" a="1"/>
  <c r="E18" i="16" s="1"/>
  <c r="E31" i="16" a="1"/>
  <c r="E31" i="16" s="1"/>
  <c r="E48" i="16" a="1"/>
  <c r="E48" i="16" s="1"/>
  <c r="E60" i="16" a="1"/>
  <c r="E60" i="16" s="1"/>
  <c r="E7" i="16" a="1"/>
  <c r="E7" i="16" s="1"/>
  <c r="E19" i="16" a="1"/>
  <c r="E19" i="16" s="1"/>
  <c r="E32" i="16" a="1"/>
  <c r="E32" i="16" s="1"/>
  <c r="E49" i="16" a="1"/>
  <c r="E49" i="16" s="1"/>
  <c r="AA2" i="16"/>
  <c r="B1" i="17"/>
  <c r="C1" i="17" s="1"/>
  <c r="D1" i="17" s="1"/>
  <c r="E1" i="17" s="1"/>
  <c r="F1" i="17" s="1"/>
  <c r="G1" i="17" s="1"/>
  <c r="H1" i="17" s="1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P27" i="17"/>
  <c r="B28" i="17"/>
  <c r="I28" i="17"/>
  <c r="P28" i="17"/>
  <c r="P29" i="17"/>
  <c r="P30" i="17"/>
  <c r="B31" i="17"/>
  <c r="B35" i="17" s="1"/>
  <c r="B39" i="17" s="1"/>
  <c r="B41" i="17" s="1"/>
  <c r="B42" i="17" s="1"/>
  <c r="B43" i="17" s="1"/>
  <c r="B44" i="17" s="1"/>
  <c r="B45" i="17" s="1"/>
  <c r="B47" i="17" s="1"/>
  <c r="B52" i="17" s="1"/>
  <c r="B53" i="17" s="1"/>
  <c r="B55" i="17" s="1"/>
  <c r="B56" i="17" s="1"/>
  <c r="B57" i="17" s="1"/>
  <c r="B58" i="17" s="1"/>
  <c r="B59" i="17" s="1"/>
  <c r="B60" i="17" s="1"/>
  <c r="B62" i="17" s="1"/>
  <c r="B63" i="17" s="1"/>
  <c r="B64" i="17" s="1"/>
  <c r="B65" i="17" s="1"/>
  <c r="B66" i="17" s="1"/>
  <c r="B79" i="17" s="1"/>
  <c r="B84" i="17" s="1"/>
  <c r="B86" i="17" s="1"/>
  <c r="B89" i="17" s="1"/>
  <c r="B90" i="17" s="1"/>
  <c r="B91" i="17" s="1"/>
  <c r="B92" i="17" s="1"/>
  <c r="B94" i="17" s="1"/>
  <c r="B95" i="17" s="1"/>
  <c r="B96" i="17" s="1"/>
  <c r="B97" i="17" s="1"/>
  <c r="B98" i="17" s="1"/>
  <c r="B100" i="17" s="1"/>
  <c r="B101" i="17" s="1"/>
  <c r="B102" i="17" s="1"/>
  <c r="B103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5" i="17" s="1"/>
  <c r="B116" i="17" s="1"/>
  <c r="B117" i="17" s="1"/>
  <c r="B118" i="17" s="1"/>
  <c r="B120" i="17" s="1"/>
  <c r="I31" i="17"/>
  <c r="I35" i="17" s="1"/>
  <c r="I39" i="17" s="1"/>
  <c r="I41" i="17" s="1"/>
  <c r="I42" i="17" s="1"/>
  <c r="I43" i="17" s="1"/>
  <c r="I44" i="17" s="1"/>
  <c r="I45" i="17" s="1"/>
  <c r="I47" i="17" s="1"/>
  <c r="I52" i="17" s="1"/>
  <c r="I53" i="17" s="1"/>
  <c r="I55" i="17" s="1"/>
  <c r="I56" i="17" s="1"/>
  <c r="I57" i="17" s="1"/>
  <c r="I58" i="17" s="1"/>
  <c r="I59" i="17" s="1"/>
  <c r="I60" i="17" s="1"/>
  <c r="I62" i="17" s="1"/>
  <c r="I63" i="17" s="1"/>
  <c r="I64" i="17" s="1"/>
  <c r="I65" i="17" s="1"/>
  <c r="I66" i="17" s="1"/>
  <c r="I79" i="17" s="1"/>
  <c r="I84" i="17" s="1"/>
  <c r="I86" i="17" s="1"/>
  <c r="I89" i="17" s="1"/>
  <c r="I90" i="17" s="1"/>
  <c r="I91" i="17" s="1"/>
  <c r="I92" i="17" s="1"/>
  <c r="I94" i="17" s="1"/>
  <c r="I95" i="17" s="1"/>
  <c r="I96" i="17" s="1"/>
  <c r="I97" i="17" s="1"/>
  <c r="I98" i="17" s="1"/>
  <c r="I100" i="17" s="1"/>
  <c r="I101" i="17" s="1"/>
  <c r="I102" i="17" s="1"/>
  <c r="I103" i="17" s="1"/>
  <c r="I105" i="17" s="1"/>
  <c r="I106" i="17" s="1"/>
  <c r="I107" i="17" s="1"/>
  <c r="I108" i="17" s="1"/>
  <c r="I109" i="17" s="1"/>
  <c r="I110" i="17" s="1"/>
  <c r="I111" i="17" s="1"/>
  <c r="I112" i="17" s="1"/>
  <c r="I113" i="17" s="1"/>
  <c r="I115" i="17" s="1"/>
  <c r="I116" i="17" s="1"/>
  <c r="I117" i="17" s="1"/>
  <c r="I118" i="17" s="1"/>
  <c r="I120" i="17" s="1"/>
  <c r="P31" i="17"/>
  <c r="P32" i="17"/>
  <c r="P33" i="17"/>
  <c r="E34" i="17"/>
  <c r="E28" i="17" s="1"/>
  <c r="P34" i="17"/>
  <c r="P35" i="17"/>
  <c r="P36" i="17"/>
  <c r="P37" i="17"/>
  <c r="P38" i="17"/>
  <c r="P39" i="17"/>
  <c r="P40" i="17"/>
  <c r="P41" i="17"/>
  <c r="P42" i="17"/>
  <c r="E43" i="17"/>
  <c r="P43" i="17"/>
  <c r="P44" i="17"/>
  <c r="P45" i="17"/>
  <c r="P46" i="17"/>
  <c r="P47" i="17"/>
  <c r="P48" i="17"/>
  <c r="P49" i="17"/>
  <c r="P50" i="17"/>
  <c r="P51" i="17"/>
  <c r="P52" i="17"/>
  <c r="E53" i="17"/>
  <c r="P53" i="17"/>
  <c r="E54" i="17"/>
  <c r="P54" i="17"/>
  <c r="E55" i="17"/>
  <c r="E56" i="17" s="1"/>
  <c r="P55" i="17"/>
  <c r="P56" i="17"/>
  <c r="E57" i="17"/>
  <c r="P57" i="17"/>
  <c r="E58" i="17"/>
  <c r="E59" i="17" s="1"/>
  <c r="P58" i="17"/>
  <c r="P59" i="17"/>
  <c r="P60" i="17"/>
  <c r="P61" i="17"/>
  <c r="P62" i="17"/>
  <c r="P63" i="17"/>
  <c r="P64" i="17"/>
  <c r="P65" i="17"/>
  <c r="P66" i="17"/>
  <c r="P79" i="17"/>
  <c r="P80" i="17"/>
  <c r="P81" i="17"/>
  <c r="P82" i="17"/>
  <c r="P83" i="17"/>
  <c r="P84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E103" i="17"/>
  <c r="P103" i="17"/>
  <c r="F104" i="17"/>
  <c r="P104" i="17" s="1"/>
  <c r="P106" i="17"/>
  <c r="P107" i="17"/>
  <c r="P108" i="17"/>
  <c r="P109" i="17"/>
  <c r="P110" i="17"/>
  <c r="E111" i="17"/>
  <c r="P111" i="17"/>
  <c r="P112" i="17"/>
  <c r="P113" i="17"/>
  <c r="P114" i="17"/>
  <c r="P115" i="17"/>
  <c r="P116" i="17"/>
  <c r="P117" i="17"/>
  <c r="P118" i="17"/>
  <c r="P119" i="17"/>
  <c r="P120" i="17"/>
  <c r="P121" i="17"/>
  <c r="F105" i="17" l="1"/>
  <c r="P105" i="17" s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B79" i="16" s="1"/>
  <c r="B80" i="16" s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98" i="16" a="1"/>
  <c r="F54" i="16" a="1"/>
  <c r="F79" i="16" a="1"/>
  <c r="F28" i="16" a="1"/>
  <c r="F39" i="16" a="1"/>
  <c r="F96" i="16" a="1"/>
  <c r="F50" i="16" a="1"/>
  <c r="F68" i="16" a="1"/>
  <c r="F38" i="16" a="1"/>
  <c r="F29" i="16" a="1"/>
  <c r="F72" i="16" a="1"/>
  <c r="F71" i="16" a="1"/>
  <c r="F8" i="16" a="1"/>
  <c r="F30" i="16" a="1"/>
  <c r="F83" i="16" a="1"/>
  <c r="F80" i="16" a="1"/>
  <c r="F55" i="16" a="1"/>
  <c r="F26" i="16" a="1"/>
  <c r="F78" i="16" a="1"/>
  <c r="F15" i="16" a="1"/>
  <c r="F66" i="16" a="1"/>
  <c r="F47" i="16" a="1"/>
  <c r="F16" i="16" a="1"/>
  <c r="F45" i="16" a="1"/>
  <c r="F67" i="16" a="1"/>
  <c r="F27" i="16" a="1"/>
  <c r="F14" i="16" a="1"/>
  <c r="F49" i="16" a="1"/>
  <c r="F74" i="16" a="1"/>
  <c r="F60" i="16" a="1"/>
  <c r="F56" i="16" a="1"/>
  <c r="F62" i="16" a="1"/>
  <c r="F31" i="16" a="1"/>
  <c r="F85" i="16" a="1"/>
  <c r="F57" i="16" a="1"/>
  <c r="F88" i="16" a="1"/>
  <c r="F59" i="16" a="1"/>
  <c r="F92" i="16" a="1"/>
  <c r="F65" i="16" a="1"/>
  <c r="F48" i="16" a="1"/>
  <c r="F7" i="16" a="1"/>
  <c r="F9" i="16" a="1"/>
  <c r="F61" i="16" a="1"/>
  <c r="F76" i="16" a="1"/>
  <c r="F91" i="16" a="1"/>
  <c r="F46" i="16" a="1"/>
  <c r="F86" i="16" a="1"/>
  <c r="F87" i="16" a="1"/>
  <c r="F88" i="16" l="1"/>
  <c r="F72" i="16"/>
  <c r="F57" i="16"/>
  <c r="F79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5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65" i="16"/>
  <c r="G28" i="16"/>
  <c r="G59" i="16"/>
  <c r="G47" i="16"/>
  <c r="G61" i="16"/>
  <c r="G86" i="16"/>
  <c r="G27" i="16"/>
  <c r="G85" i="16"/>
  <c r="G87" i="16"/>
  <c r="G9" i="16"/>
  <c r="G7" i="16"/>
  <c r="G79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5" i="15"/>
  <c r="A140" i="15"/>
  <c r="A152" i="15"/>
  <c r="A126" i="14"/>
  <c r="A145" i="14"/>
  <c r="A140" i="14"/>
  <c r="A152" i="14"/>
  <c r="A140" i="13"/>
  <c r="A126" i="13"/>
  <c r="A145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60" i="2"/>
  <c r="A126" i="2"/>
  <c r="A152" i="2"/>
  <c r="A155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F9E45684-4F69-4A78-9097-389A280F177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06E6E3B9-6BC5-4685-9FA6-8ACF9E725B02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<sst xmlns="http://schemas.openxmlformats.org/spreadsheetml/2006/main" count="2004" uniqueCount="406">
  <si>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</si>
  <si>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</si>
  <si>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</si>
  <si>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</si>
  <si>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</si>
  <si>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</si>
  <si>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</si>
  <si>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</si>
  <si>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</si>
  <si>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</si>
  <si>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</si>
  <si>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</si>
  <si>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</si>
  <si>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</si>
  <si>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</si>
  <si>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</si>
  <si>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</si>
  <si>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</si>
  <si>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</si>
  <si>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</si>
  <si>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</si>
  <si>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</si>
  <si>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</si>
  <si>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</si>
  <si>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</si>
  <si>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</si>
  <si>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</si>
  <si>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</si>
  <si>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</si>
  <si>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</si>
  <si>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</si>
  <si>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</si>
  <si>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</si>
  <si>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</si>
  <si>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</si>
  <si>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</si>
  <si>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</si>
  <si>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</si>
  <si>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</si>
  <si>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</si>
  <si>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</si>
  <si>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</si>
  <si>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</si>
  <si>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</si>
  <si>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</si>
  <si>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</si>
  <si>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</si>
  <si>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</si>
  <si>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</si>
  <si>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</si>
  <si>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</si>
  <si>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</si>
  <si>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</si>
  <si>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</si>
  <si>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</si>
  <si>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</si>
  <si>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</si>
  <si>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</si>
  <si>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</si>
  <si>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</si>
  <si>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</si>
  <si>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</si>
  <si>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</si>
  <si>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</si>
  <si>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</si>
  <si>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</si>
  <si>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</si>
  <si>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</si>
  <si>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</si>
  <si>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</si>
  <si>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</si>
  <si>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</si>
  <si>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</si>
  <si>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</si>
  <si>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</si>
  <si>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</si>
  <si>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</si>
  <si>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</si>
  <si>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</si>
  <si>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</si>
  <si>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</si>
  <si>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</si>
  <si>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</si>
  <si>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</si>
  <si>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</si>
  <si>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</si>
  <si>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</si>
  <si>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</si>
  <si>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</si>
  <si>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</si>
  <si>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</si>
  <si>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</si>
  <si>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</si>
  <si>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</si>
  <si>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</si>
  <si>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</si>
  <si>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</si>
  <si>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</si>
  <si>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</si>
  <si>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</si>
  <si>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</si>
  <si>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</si>
  <si>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</si>
  <si>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</si>
  <si>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</si>
  <si>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</si>
  <si>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</si>
  <si>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</si>
  <si>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</si>
  <si>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</si>
  <si>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</si>
  <si>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</si>
  <si>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</si>
  <si>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</si>
  <si>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</si>
  <si>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</si>
  <si>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</si>
  <si>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</si>
  <si>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</si>
  <si>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</si>
  <si>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</si>
  <si>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</si>
  <si>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</si>
  <si>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</si>
  <si>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</si>
  <si>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</si>
  <si>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</si>
  <si>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</si>
  <si>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</si>
  <si>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</si>
  <si>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</si>
  <si>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</si>
  <si>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</si>
  <si>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</si>
  <si>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</si>
  <si>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</si>
  <si>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</si>
  <si>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</si>
  <si>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</si>
  <si>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</si>
  <si>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</si>
  <si>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</si>
  <si>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</si>
  <si>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</si>
  <si>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</si>
  <si>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</si>
  <si>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</si>
  <si>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</si>
  <si>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</si>
  <si>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</si>
  <si>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</si>
  <si>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</si>
  <si>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</si>
  <si>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</si>
  <si>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</si>
  <si>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</si>
  <si>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</si>
  <si>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</si>
  <si>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</si>
  <si>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</si>
  <si>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</si>
  <si>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</si>
  <si>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</si>
  <si>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</si>
  <si>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</si>
  <si>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</si>
  <si>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</si>
  <si>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</si>
  <si>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</si>
  <si>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</si>
  <si>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</si>
  <si>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</si>
  <si>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</si>
  <si>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</si>
  <si>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</si>
  <si>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</si>
  <si>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</si>
  <si>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</si>
  <si>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</si>
  <si>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</si>
  <si>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</si>
  <si>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</si>
  <si>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</si>
  <si>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</si>
  <si>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</si>
  <si>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</si>
  <si>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</si>
  <si>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</si>
  <si>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</si>
  <si>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</si>
  <si>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</si>
  <si>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</si>
  <si>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</si>
  <si>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</si>
  <si>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</si>
  <si>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</si>
  <si>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</si>
  <si>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</si>
  <si>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</si>
  <si>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</si>
  <si>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</si>
  <si>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</si>
  <si>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</si>
  <si>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</si>
  <si>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</si>
  <si>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</si>
  <si>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</si>
  <si>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</si>
  <si>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</si>
  <si>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</si>
  <si>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</si>
  <si>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</si>
  <si>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</si>
  <si>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</si>
  <si>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</si>
  <si>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</si>
  <si>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</si>
  <si>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</si>
  <si>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</si>
  <si>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</si>
  <si>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</si>
  <si>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</si>
  <si>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</si>
  <si>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</si>
  <si>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</si>
  <si>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</si>
  <si>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</si>
  <si>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</si>
  <si>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</si>
  <si>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</si>
  <si>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</si>
  <si>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</si>
  <si>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</si>
  <si>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</si>
  <si>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</si>
  <si>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</si>
  <si>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</si>
  <si>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</si>
  <si>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</si>
  <si>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</si>
  <si>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</si>
  <si>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</si>
  <si>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</si>
  <si>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</si>
  <si>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</si>
  <si>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</si>
  <si>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</si>
  <si>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</si>
  <si>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</si>
  <si>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</si>
  <si>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</si>
  <si>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</si>
  <si>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</si>
  <si>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</si>
  <si>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</si>
  <si>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</si>
  <si>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</si>
  <si>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</si>
  <si>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</si>
  <si>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</si>
  <si>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</si>
  <si>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</si>
  <si>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</si>
  <si>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</si>
  <si>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</si>
  <si>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</si>
  <si>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</si>
  <si>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</si>
  <si>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</si>
  <si>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</si>
  <si>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</si>
  <si>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</si>
  <si>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</si>
  <si>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</si>
  <si>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</si>
  <si>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</si>
  <si>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</si>
  <si>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</si>
  <si>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</si>
  <si>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</si>
  <si>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</si>
  <si>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</si>
  <si>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</si>
  <si>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</si>
  <si>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</si>
  <si>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</si>
  <si>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</si>
  <si>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</si>
  <si>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</si>
  <si>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</si>
  <si>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</si>
  <si>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</si>
  <si>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</si>
  <si>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</si>
  <si>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</si>
  <si>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</si>
  <si>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</si>
  <si>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</si>
  <si>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</si>
  <si>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</si>
  <si>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</si>
  <si>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</si>
  <si>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</si>
  <si>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</si>
  <si>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</si>
  <si>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</si>
  <si>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</si>
  <si>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</si>
  <si>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</si>
  <si>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</si>
  <si>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</si>
  <si>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</si>
  <si>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</si>
  <si>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</si>
  <si>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</si>
  <si>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</si>
  <si>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</si>
  <si>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</si>
  <si>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</si>
  <si>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</si>
  <si>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</si>
  <si>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</si>
  <si>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</si>
  <si>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</si>
  <si>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</si>
  <si>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</si>
  <si>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</si>
  <si>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</si>
  <si>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</si>
  <si>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</si>
  <si>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</si>
  <si>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</si>
  <si>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</si>
  <si>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</si>
  <si>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</si>
  <si>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</si>
  <si>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</si>
  <si>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>Including 50% reduction, when re-tightening is assumed (only for tension tightening)</t>
  </si>
  <si>
    <t>Inclination used: 0.00deg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</si>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</sst>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5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1" fillId="0" borderId="0"/>
  </cellStyleXfs>
  <cellXfs count="184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8" fillId="3" borderId="1" xfId="1" applyNumberFormat="1" applyFont="1" applyFill="1" applyBorder="1" applyAlignment="1">
      <alignment horizontal="center" vertical="center"/>
    </xf>
    <xf numFmtId="2" fontId="8" fillId="3" borderId="5" xfId="1" applyNumberFormat="1" applyFont="1" applyFill="1" applyBorder="1" applyAlignment="1">
      <alignment horizontal="center" vertical="center"/>
    </xf>
    <xf numFmtId="0" fontId="55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/>
    <xf numFmtId="0" fontId="41" fillId="0" borderId="0" xfId="5" applyFont="1" applyAlignment="1">
      <alignment horizontal="right"/>
    </xf>
    <xf numFmtId="0" fontId="54" fillId="0" borderId="0" xfId="5" applyFont="1" applyAlignment="1">
      <alignment horizontal="center"/>
    </xf>
    <xf numFmtId="174" fontId="0" fillId="0" borderId="0" xfId="0" applyNumberFormat="1"/>
    <xf numFmtId="0" fontId="16" fillId="0" borderId="0" xfId="0" applyFont="1" applyAlignment="1">
      <alignment horizontal="left"/>
    </xf>
    <xf numFmtId="0" fontId="57" fillId="5" borderId="0" xfId="5" applyFont="1" applyFill="1" applyAlignment="1">
      <alignment horizontal="center"/>
    </xf>
    <xf numFmtId="1" fontId="0" fillId="7" borderId="0" xfId="0" applyNumberFormat="1" applyFill="1"/>
    <xf numFmtId="0" fontId="57" fillId="5" borderId="0" xfId="5" applyFont="1" applyFill="1"/>
    <xf numFmtId="0" fontId="58" fillId="0" borderId="29" xfId="5" applyFont="1" applyBorder="1" applyAlignment="1">
      <alignment horizontal="center" vertical="top" wrapText="1"/>
    </xf>
    <xf numFmtId="2" fontId="0" fillId="7" borderId="0" xfId="0" applyNumberFormat="1" applyFill="1"/>
    <xf numFmtId="0" fontId="58" fillId="0" borderId="0" xfId="5" applyFont="1" applyAlignment="1">
      <alignment horizontal="center" vertical="top" wrapText="1"/>
    </xf>
    <xf numFmtId="0" fontId="57" fillId="0" borderId="0" xfId="5" applyFont="1" applyAlignment="1">
      <alignment horizontal="center"/>
    </xf>
    <xf numFmtId="0" fontId="57" fillId="0" borderId="0" xfId="5" applyFont="1"/>
    <xf numFmtId="0" fontId="54" fillId="0" borderId="0" xfId="5" applyFont="1" applyAlignment="1">
      <alignment horizontal="right"/>
    </xf>
    <xf numFmtId="0" fontId="0" fillId="10" borderId="0" xfId="0" applyFill="1"/>
    <xf numFmtId="166" fontId="0" fillId="7" borderId="0" xfId="0" applyNumberFormat="1" applyFill="1"/>
    <xf numFmtId="0" fontId="6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Alignment="1">
      <alignment vertical="center"/>
    </xf>
    <xf numFmtId="0" fontId="52" fillId="0" borderId="25" xfId="0" applyFont="1" applyBorder="1" applyAlignment="1">
      <alignment horizontal="center" vertical="center"/>
    </xf>
    <xf numFmtId="0" fontId="63" fillId="0" borderId="25" xfId="0" applyFont="1" applyBorder="1" applyAlignment="1">
      <alignment horizontal="center" vertical="center"/>
    </xf>
    <xf numFmtId="0" fontId="51" fillId="8" borderId="30" xfId="0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168" fontId="54" fillId="7" borderId="25" xfId="3" applyNumberFormat="1" applyFont="1" applyFill="1" applyBorder="1" applyAlignment="1">
      <alignment horizontal="center" vertic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10" fillId="3" borderId="1" xfId="2" quotePrefix="1" applyFont="1" applyFill="1" applyBorder="1" applyAlignment="1">
      <alignment horizontal="left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  <cellStyle name="Standard 2 2" xfId="5" xr:uid="{F03A5C3A-BFB2-4DCC-BC18-6D8CB2B8C217}"/>
  </cellStyles>
  <dxfs count="29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-285.19483903902244</c:v>
                </c:pt>
                <c:pt idx="2">
                  <c:v>-275.88740931115103</c:v>
                </c:pt>
                <c:pt idx="3">
                  <c:v>-266.57997958327951</c:v>
                </c:pt>
                <c:pt idx="4">
                  <c:v>-257.2725498554081</c:v>
                </c:pt>
                <c:pt idx="5">
                  <c:v>-247.96512012753661</c:v>
                </c:pt>
                <c:pt idx="6">
                  <c:v>-238.65769039966514</c:v>
                </c:pt>
                <c:pt idx="7">
                  <c:v>-229.35026067179365</c:v>
                </c:pt>
                <c:pt idx="8">
                  <c:v>-220.04283094392221</c:v>
                </c:pt>
                <c:pt idx="9">
                  <c:v>-210.73540121605072</c:v>
                </c:pt>
                <c:pt idx="10">
                  <c:v>-201.42797148817928</c:v>
                </c:pt>
                <c:pt idx="11">
                  <c:v>-192.12054176030779</c:v>
                </c:pt>
                <c:pt idx="12">
                  <c:v>-182.81311203243632</c:v>
                </c:pt>
                <c:pt idx="13">
                  <c:v>-173.50568230456486</c:v>
                </c:pt>
                <c:pt idx="14">
                  <c:v>-164.19825257669339</c:v>
                </c:pt>
                <c:pt idx="15">
                  <c:v>-154.89082284882193</c:v>
                </c:pt>
                <c:pt idx="16">
                  <c:v>-145.58339312095046</c:v>
                </c:pt>
                <c:pt idx="17">
                  <c:v>-136.275963393079</c:v>
                </c:pt>
                <c:pt idx="18">
                  <c:v>-126.96853366520753</c:v>
                </c:pt>
                <c:pt idx="19">
                  <c:v>-117.66110393733607</c:v>
                </c:pt>
                <c:pt idx="20">
                  <c:v>-108.3536742094646</c:v>
                </c:pt>
                <c:pt idx="21">
                  <c:v>-99.046244481593135</c:v>
                </c:pt>
                <c:pt idx="22">
                  <c:v>-89.73881475372167</c:v>
                </c:pt>
                <c:pt idx="23">
                  <c:v>-80.431385025850204</c:v>
                </c:pt>
                <c:pt idx="24">
                  <c:v>-71.123955297978711</c:v>
                </c:pt>
                <c:pt idx="25">
                  <c:v>-61.816525570107245</c:v>
                </c:pt>
                <c:pt idx="26">
                  <c:v>-52.50909584223578</c:v>
                </c:pt>
                <c:pt idx="27">
                  <c:v>-43.201666114364315</c:v>
                </c:pt>
                <c:pt idx="28">
                  <c:v>-33.89423638649285</c:v>
                </c:pt>
                <c:pt idx="29">
                  <c:v>-24.586806658621413</c:v>
                </c:pt>
                <c:pt idx="30">
                  <c:v>-15.279376930749917</c:v>
                </c:pt>
                <c:pt idx="31">
                  <c:v>-5.9719472028784804</c:v>
                </c:pt>
                <c:pt idx="32">
                  <c:v>3.3354825249930147</c:v>
                </c:pt>
                <c:pt idx="33">
                  <c:v>12.642912252864509</c:v>
                </c:pt>
                <c:pt idx="34">
                  <c:v>21.950341980735946</c:v>
                </c:pt>
                <c:pt idx="35">
                  <c:v>31.257771708607439</c:v>
                </c:pt>
                <c:pt idx="36">
                  <c:v>40.56520143647888</c:v>
                </c:pt>
                <c:pt idx="37">
                  <c:v>49.872631164350373</c:v>
                </c:pt>
                <c:pt idx="38">
                  <c:v>59.18006089222181</c:v>
                </c:pt>
                <c:pt idx="39">
                  <c:v>68.487490620093297</c:v>
                </c:pt>
                <c:pt idx="40">
                  <c:v>77.794920347964734</c:v>
                </c:pt>
                <c:pt idx="41">
                  <c:v>87.102350075836242</c:v>
                </c:pt>
                <c:pt idx="42">
                  <c:v>96.409779803707679</c:v>
                </c:pt>
                <c:pt idx="43">
                  <c:v>105.71720953157917</c:v>
                </c:pt>
                <c:pt idx="44">
                  <c:v>115.02463925945061</c:v>
                </c:pt>
                <c:pt idx="45">
                  <c:v>124.3320689873221</c:v>
                </c:pt>
                <c:pt idx="46">
                  <c:v>133.63949871519353</c:v>
                </c:pt>
                <c:pt idx="47">
                  <c:v>142.94692844306502</c:v>
                </c:pt>
                <c:pt idx="48">
                  <c:v>152.25435817093651</c:v>
                </c:pt>
                <c:pt idx="49">
                  <c:v>161.56178789880795</c:v>
                </c:pt>
                <c:pt idx="50">
                  <c:v>170.86921762667944</c:v>
                </c:pt>
                <c:pt idx="51">
                  <c:v>180.17664735455088</c:v>
                </c:pt>
                <c:pt idx="52">
                  <c:v>189.48407708242237</c:v>
                </c:pt>
                <c:pt idx="53">
                  <c:v>198.79150681029381</c:v>
                </c:pt>
                <c:pt idx="54">
                  <c:v>208.09893653816533</c:v>
                </c:pt>
                <c:pt idx="55">
                  <c:v>217.40636626603674</c:v>
                </c:pt>
                <c:pt idx="56">
                  <c:v>226.71379599390826</c:v>
                </c:pt>
                <c:pt idx="57">
                  <c:v>236.0212257217797</c:v>
                </c:pt>
                <c:pt idx="58">
                  <c:v>245.32865544965114</c:v>
                </c:pt>
                <c:pt idx="59">
                  <c:v>254.63608517752269</c:v>
                </c:pt>
                <c:pt idx="60">
                  <c:v>263.94351490539412</c:v>
                </c:pt>
                <c:pt idx="61">
                  <c:v>273.25094463326553</c:v>
                </c:pt>
                <c:pt idx="62">
                  <c:v>282.558374361137</c:v>
                </c:pt>
                <c:pt idx="63">
                  <c:v>291.86580408900852</c:v>
                </c:pt>
                <c:pt idx="64">
                  <c:v>301.17323381687999</c:v>
                </c:pt>
                <c:pt idx="65">
                  <c:v>310.48066354475139</c:v>
                </c:pt>
                <c:pt idx="66">
                  <c:v>319.78809327262297</c:v>
                </c:pt>
                <c:pt idx="67">
                  <c:v>329.09552300049438</c:v>
                </c:pt>
                <c:pt idx="68">
                  <c:v>338.40295272836585</c:v>
                </c:pt>
                <c:pt idx="69">
                  <c:v>347.71038245623726</c:v>
                </c:pt>
                <c:pt idx="70">
                  <c:v>357.01781218410883</c:v>
                </c:pt>
                <c:pt idx="71">
                  <c:v>366.32524191198024</c:v>
                </c:pt>
                <c:pt idx="72">
                  <c:v>375.63267163985171</c:v>
                </c:pt>
                <c:pt idx="73">
                  <c:v>384.94010136772312</c:v>
                </c:pt>
                <c:pt idx="74">
                  <c:v>394.2475310955947</c:v>
                </c:pt>
                <c:pt idx="75">
                  <c:v>403.5549608234661</c:v>
                </c:pt>
                <c:pt idx="76">
                  <c:v>412.86239055133757</c:v>
                </c:pt>
                <c:pt idx="77">
                  <c:v>422.16982027920898</c:v>
                </c:pt>
                <c:pt idx="78">
                  <c:v>431.47725000708056</c:v>
                </c:pt>
                <c:pt idx="79">
                  <c:v>440.78467973495196</c:v>
                </c:pt>
                <c:pt idx="80">
                  <c:v>450.09210946282343</c:v>
                </c:pt>
                <c:pt idx="81">
                  <c:v>459.39953919069501</c:v>
                </c:pt>
                <c:pt idx="82">
                  <c:v>468.70696891856642</c:v>
                </c:pt>
                <c:pt idx="83">
                  <c:v>478.01439864643783</c:v>
                </c:pt>
                <c:pt idx="84">
                  <c:v>487.32182837430929</c:v>
                </c:pt>
                <c:pt idx="85">
                  <c:v>496.62925810218087</c:v>
                </c:pt>
                <c:pt idx="86">
                  <c:v>505.93668783005228</c:v>
                </c:pt>
                <c:pt idx="87">
                  <c:v>515.24411755792369</c:v>
                </c:pt>
                <c:pt idx="88">
                  <c:v>524.55154728579521</c:v>
                </c:pt>
                <c:pt idx="89">
                  <c:v>533.85897701366662</c:v>
                </c:pt>
                <c:pt idx="90">
                  <c:v>543.16640674153814</c:v>
                </c:pt>
                <c:pt idx="91">
                  <c:v>552.47383646940955</c:v>
                </c:pt>
                <c:pt idx="92">
                  <c:v>561.78126619728096</c:v>
                </c:pt>
                <c:pt idx="93">
                  <c:v>571.08869592515259</c:v>
                </c:pt>
                <c:pt idx="94">
                  <c:v>580.39612565302411</c:v>
                </c:pt>
                <c:pt idx="95">
                  <c:v>589.70355538089552</c:v>
                </c:pt>
                <c:pt idx="96">
                  <c:v>599.01098510876693</c:v>
                </c:pt>
                <c:pt idx="97">
                  <c:v>608.31841483663834</c:v>
                </c:pt>
                <c:pt idx="98">
                  <c:v>617.62584456450986</c:v>
                </c:pt>
                <c:pt idx="99">
                  <c:v>626.93327429238138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-27.05915191734735</c:v>
                </c:pt>
                <c:pt idx="1">
                  <c:v>-27.05915191734735</c:v>
                </c:pt>
                <c:pt idx="2">
                  <c:v>-27.051139462390847</c:v>
                </c:pt>
                <c:pt idx="3">
                  <c:v>-26.985719157879206</c:v>
                </c:pt>
                <c:pt idx="4">
                  <c:v>-26.854434332610516</c:v>
                </c:pt>
                <c:pt idx="5">
                  <c:v>-26.65728498658477</c:v>
                </c:pt>
                <c:pt idx="6">
                  <c:v>-26.394271119801978</c:v>
                </c:pt>
                <c:pt idx="7">
                  <c:v>-26.065392732262129</c:v>
                </c:pt>
                <c:pt idx="8">
                  <c:v>-25.670649823965231</c:v>
                </c:pt>
                <c:pt idx="9">
                  <c:v>-25.210042394911284</c:v>
                </c:pt>
                <c:pt idx="10">
                  <c:v>-24.683570445100283</c:v>
                </c:pt>
                <c:pt idx="11">
                  <c:v>-24.09123397453223</c:v>
                </c:pt>
                <c:pt idx="12">
                  <c:v>-23.433032983207124</c:v>
                </c:pt>
                <c:pt idx="13">
                  <c:v>-22.708967471124964</c:v>
                </c:pt>
                <c:pt idx="14">
                  <c:v>-21.919037438285763</c:v>
                </c:pt>
                <c:pt idx="15">
                  <c:v>-21.063242884689505</c:v>
                </c:pt>
                <c:pt idx="16">
                  <c:v>-20.141583810336193</c:v>
                </c:pt>
                <c:pt idx="17">
                  <c:v>-19.154060215225829</c:v>
                </c:pt>
                <c:pt idx="18">
                  <c:v>-18.10067209935842</c:v>
                </c:pt>
                <c:pt idx="19">
                  <c:v>-16.981419462733957</c:v>
                </c:pt>
                <c:pt idx="20">
                  <c:v>-15.796302305352441</c:v>
                </c:pt>
                <c:pt idx="21">
                  <c:v>-14.545320627213872</c:v>
                </c:pt>
                <c:pt idx="22">
                  <c:v>-13.228474428318254</c:v>
                </c:pt>
                <c:pt idx="23">
                  <c:v>-11.845763708665585</c:v>
                </c:pt>
                <c:pt idx="24">
                  <c:v>-10.397188468255857</c:v>
                </c:pt>
                <c:pt idx="25">
                  <c:v>-8.8827487070890854</c:v>
                </c:pt>
                <c:pt idx="26">
                  <c:v>-7.3024444251652589</c:v>
                </c:pt>
                <c:pt idx="27">
                  <c:v>-5.6562756224843849</c:v>
                </c:pt>
                <c:pt idx="28">
                  <c:v>-3.9442422990464556</c:v>
                </c:pt>
                <c:pt idx="29">
                  <c:v>-2.1295782477919896</c:v>
                </c:pt>
                <c:pt idx="30">
                  <c:v>-5.9230919231751944E-2</c:v>
                </c:pt>
                <c:pt idx="31">
                  <c:v>2.2836184564819995</c:v>
                </c:pt>
                <c:pt idx="32">
                  <c:v>4.8989698793492913</c:v>
                </c:pt>
                <c:pt idx="33">
                  <c:v>7.7868233493701133</c:v>
                </c:pt>
                <c:pt idx="34">
                  <c:v>10.947178866544441</c:v>
                </c:pt>
                <c:pt idx="35">
                  <c:v>14.380036430872318</c:v>
                </c:pt>
                <c:pt idx="36">
                  <c:v>18.085396042353697</c:v>
                </c:pt>
                <c:pt idx="37">
                  <c:v>22.063257700988629</c:v>
                </c:pt>
                <c:pt idx="38">
                  <c:v>26.313621406777063</c:v>
                </c:pt>
                <c:pt idx="39">
                  <c:v>30.836487159719049</c:v>
                </c:pt>
                <c:pt idx="40">
                  <c:v>35.631854959814532</c:v>
                </c:pt>
                <c:pt idx="41">
                  <c:v>40.699724807063568</c:v>
                </c:pt>
                <c:pt idx="42">
                  <c:v>46.040096701466098</c:v>
                </c:pt>
                <c:pt idx="43">
                  <c:v>51.652970643022201</c:v>
                </c:pt>
                <c:pt idx="44">
                  <c:v>57.538346631731784</c:v>
                </c:pt>
                <c:pt idx="45">
                  <c:v>63.696224667594933</c:v>
                </c:pt>
                <c:pt idx="46">
                  <c:v>70.126604750611577</c:v>
                </c:pt>
                <c:pt idx="47">
                  <c:v>76.829486880781786</c:v>
                </c:pt>
                <c:pt idx="48">
                  <c:v>83.804871058105505</c:v>
                </c:pt>
                <c:pt idx="49">
                  <c:v>91.052757282582732</c:v>
                </c:pt>
                <c:pt idx="50">
                  <c:v>98.573145554213525</c:v>
                </c:pt>
                <c:pt idx="51">
                  <c:v>106.36603587299778</c:v>
                </c:pt>
                <c:pt idx="52">
                  <c:v>114.43142823893564</c:v>
                </c:pt>
                <c:pt idx="53">
                  <c:v>122.76932265202694</c:v>
                </c:pt>
                <c:pt idx="54">
                  <c:v>131.37971911227186</c:v>
                </c:pt>
                <c:pt idx="55">
                  <c:v>140.26261761967024</c:v>
                </c:pt>
                <c:pt idx="56">
                  <c:v>149.4180181742222</c:v>
                </c:pt>
                <c:pt idx="57">
                  <c:v>158.8459207759276</c:v>
                </c:pt>
                <c:pt idx="58">
                  <c:v>168.54632542478654</c:v>
                </c:pt>
                <c:pt idx="59">
                  <c:v>178.51923212079913</c:v>
                </c:pt>
                <c:pt idx="60">
                  <c:v>188.76464086396516</c:v>
                </c:pt>
                <c:pt idx="61">
                  <c:v>199.28255165428467</c:v>
                </c:pt>
                <c:pt idx="62">
                  <c:v>210.07296449175774</c:v>
                </c:pt>
                <c:pt idx="63">
                  <c:v>221.13587937638445</c:v>
                </c:pt>
                <c:pt idx="64">
                  <c:v>232.47129630816454</c:v>
                </c:pt>
                <c:pt idx="65">
                  <c:v>244.07921528709818</c:v>
                </c:pt>
                <c:pt idx="66">
                  <c:v>255.95963631318548</c:v>
                </c:pt>
                <c:pt idx="67">
                  <c:v>268.11255938642614</c:v>
                </c:pt>
                <c:pt idx="68">
                  <c:v>280.53798450682035</c:v>
                </c:pt>
                <c:pt idx="69">
                  <c:v>293.23591167436808</c:v>
                </c:pt>
                <c:pt idx="70">
                  <c:v>306.20634088906951</c:v>
                </c:pt>
                <c:pt idx="71">
                  <c:v>319.44927215092429</c:v>
                </c:pt>
                <c:pt idx="72">
                  <c:v>332.96470545993259</c:v>
                </c:pt>
                <c:pt idx="73">
                  <c:v>346.75264081609447</c:v>
                </c:pt>
                <c:pt idx="74">
                  <c:v>360.81307821940999</c:v>
                </c:pt>
                <c:pt idx="75">
                  <c:v>375.14601766987886</c:v>
                </c:pt>
                <c:pt idx="76">
                  <c:v>389.75145916750131</c:v>
                </c:pt>
                <c:pt idx="77">
                  <c:v>404.62940271227723</c:v>
                </c:pt>
                <c:pt idx="78">
                  <c:v>419.77984830420689</c:v>
                </c:pt>
                <c:pt idx="79">
                  <c:v>435.20279594328991</c:v>
                </c:pt>
                <c:pt idx="80">
                  <c:v>450.8982456295264</c:v>
                </c:pt>
                <c:pt idx="81">
                  <c:v>466.86619736291664</c:v>
                </c:pt>
                <c:pt idx="82">
                  <c:v>483.10665114346028</c:v>
                </c:pt>
                <c:pt idx="83">
                  <c:v>499.61960697115722</c:v>
                </c:pt>
                <c:pt idx="84">
                  <c:v>516.40506484600792</c:v>
                </c:pt>
                <c:pt idx="85">
                  <c:v>533.46302476801225</c:v>
                </c:pt>
                <c:pt idx="86">
                  <c:v>550.79348673716993</c:v>
                </c:pt>
                <c:pt idx="87">
                  <c:v>568.39645075348108</c:v>
                </c:pt>
                <c:pt idx="88">
                  <c:v>586.27191681694603</c:v>
                </c:pt>
                <c:pt idx="89">
                  <c:v>604.41988492756423</c:v>
                </c:pt>
                <c:pt idx="90">
                  <c:v>622.840355085336</c:v>
                </c:pt>
                <c:pt idx="91">
                  <c:v>641.53332729026135</c:v>
                </c:pt>
                <c:pt idx="92">
                  <c:v>660.49880154234017</c:v>
                </c:pt>
                <c:pt idx="93">
                  <c:v>679.73677784157303</c:v>
                </c:pt>
                <c:pt idx="94">
                  <c:v>699.2472561879589</c:v>
                </c:pt>
                <c:pt idx="95">
                  <c:v>719.03023658149823</c:v>
                </c:pt>
                <c:pt idx="96">
                  <c:v>739.08571902219126</c:v>
                </c:pt>
                <c:pt idx="97">
                  <c:v>759.41370351003752</c:v>
                </c:pt>
                <c:pt idx="98">
                  <c:v>780.01419004503759</c:v>
                </c:pt>
                <c:pt idx="99">
                  <c:v>800.88717862719136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-285.19483903902244</c:v>
                </c:pt>
                <c:pt idx="2">
                  <c:v>-275.88740931115103</c:v>
                </c:pt>
                <c:pt idx="3">
                  <c:v>-266.57997958327951</c:v>
                </c:pt>
                <c:pt idx="4">
                  <c:v>-257.2725498554081</c:v>
                </c:pt>
                <c:pt idx="5">
                  <c:v>-247.96512012753661</c:v>
                </c:pt>
                <c:pt idx="6">
                  <c:v>-238.65769039966514</c:v>
                </c:pt>
                <c:pt idx="7">
                  <c:v>-229.35026067179365</c:v>
                </c:pt>
                <c:pt idx="8">
                  <c:v>-220.04283094392221</c:v>
                </c:pt>
                <c:pt idx="9">
                  <c:v>-210.73540121605072</c:v>
                </c:pt>
                <c:pt idx="10">
                  <c:v>-201.42797148817928</c:v>
                </c:pt>
                <c:pt idx="11">
                  <c:v>-192.12054176030779</c:v>
                </c:pt>
                <c:pt idx="12">
                  <c:v>-182.81311203243632</c:v>
                </c:pt>
                <c:pt idx="13">
                  <c:v>-173.50568230456486</c:v>
                </c:pt>
                <c:pt idx="14">
                  <c:v>-164.19825257669339</c:v>
                </c:pt>
                <c:pt idx="15">
                  <c:v>-154.89082284882193</c:v>
                </c:pt>
                <c:pt idx="16">
                  <c:v>-145.58339312095046</c:v>
                </c:pt>
                <c:pt idx="17">
                  <c:v>-136.275963393079</c:v>
                </c:pt>
                <c:pt idx="18">
                  <c:v>-126.96853366520753</c:v>
                </c:pt>
                <c:pt idx="19">
                  <c:v>-117.66110393733607</c:v>
                </c:pt>
                <c:pt idx="20">
                  <c:v>-108.3536742094646</c:v>
                </c:pt>
                <c:pt idx="21">
                  <c:v>-99.046244481593135</c:v>
                </c:pt>
                <c:pt idx="22">
                  <c:v>-89.73881475372167</c:v>
                </c:pt>
                <c:pt idx="23">
                  <c:v>-80.431385025850204</c:v>
                </c:pt>
                <c:pt idx="24">
                  <c:v>-71.123955297978711</c:v>
                </c:pt>
                <c:pt idx="25">
                  <c:v>-61.816525570107245</c:v>
                </c:pt>
                <c:pt idx="26">
                  <c:v>-52.50909584223578</c:v>
                </c:pt>
                <c:pt idx="27">
                  <c:v>-43.201666114364315</c:v>
                </c:pt>
                <c:pt idx="28">
                  <c:v>-33.89423638649285</c:v>
                </c:pt>
                <c:pt idx="29">
                  <c:v>-24.586806658621413</c:v>
                </c:pt>
                <c:pt idx="30">
                  <c:v>-15.279376930749917</c:v>
                </c:pt>
                <c:pt idx="31">
                  <c:v>-5.9719472028784804</c:v>
                </c:pt>
                <c:pt idx="32">
                  <c:v>3.3354825249930147</c:v>
                </c:pt>
                <c:pt idx="33">
                  <c:v>12.642912252864509</c:v>
                </c:pt>
                <c:pt idx="34">
                  <c:v>21.950341980735946</c:v>
                </c:pt>
                <c:pt idx="35">
                  <c:v>31.257771708607439</c:v>
                </c:pt>
                <c:pt idx="36">
                  <c:v>40.56520143647888</c:v>
                </c:pt>
                <c:pt idx="37">
                  <c:v>49.872631164350373</c:v>
                </c:pt>
                <c:pt idx="38">
                  <c:v>59.18006089222181</c:v>
                </c:pt>
                <c:pt idx="39">
                  <c:v>68.487490620093297</c:v>
                </c:pt>
                <c:pt idx="40">
                  <c:v>77.794920347964734</c:v>
                </c:pt>
                <c:pt idx="41">
                  <c:v>87.102350075836242</c:v>
                </c:pt>
                <c:pt idx="42">
                  <c:v>96.409779803707679</c:v>
                </c:pt>
                <c:pt idx="43">
                  <c:v>105.71720953157917</c:v>
                </c:pt>
                <c:pt idx="44">
                  <c:v>115.02463925945061</c:v>
                </c:pt>
                <c:pt idx="45">
                  <c:v>124.3320689873221</c:v>
                </c:pt>
                <c:pt idx="46">
                  <c:v>133.63949871519353</c:v>
                </c:pt>
                <c:pt idx="47">
                  <c:v>142.94692844306502</c:v>
                </c:pt>
                <c:pt idx="48">
                  <c:v>152.25435817093651</c:v>
                </c:pt>
                <c:pt idx="49">
                  <c:v>161.56178789880795</c:v>
                </c:pt>
                <c:pt idx="50">
                  <c:v>170.86921762667944</c:v>
                </c:pt>
                <c:pt idx="51">
                  <c:v>180.17664735455088</c:v>
                </c:pt>
                <c:pt idx="52">
                  <c:v>189.48407708242237</c:v>
                </c:pt>
                <c:pt idx="53">
                  <c:v>198.79150681029381</c:v>
                </c:pt>
                <c:pt idx="54">
                  <c:v>208.09893653816533</c:v>
                </c:pt>
                <c:pt idx="55">
                  <c:v>217.40636626603674</c:v>
                </c:pt>
                <c:pt idx="56">
                  <c:v>226.71379599390826</c:v>
                </c:pt>
                <c:pt idx="57">
                  <c:v>236.0212257217797</c:v>
                </c:pt>
                <c:pt idx="58">
                  <c:v>245.32865544965114</c:v>
                </c:pt>
                <c:pt idx="59">
                  <c:v>254.63608517752269</c:v>
                </c:pt>
                <c:pt idx="60">
                  <c:v>263.94351490539412</c:v>
                </c:pt>
                <c:pt idx="61">
                  <c:v>273.25094463326553</c:v>
                </c:pt>
                <c:pt idx="62">
                  <c:v>282.558374361137</c:v>
                </c:pt>
                <c:pt idx="63">
                  <c:v>291.86580408900852</c:v>
                </c:pt>
                <c:pt idx="64">
                  <c:v>301.17323381687999</c:v>
                </c:pt>
                <c:pt idx="65">
                  <c:v>310.48066354475139</c:v>
                </c:pt>
                <c:pt idx="66">
                  <c:v>319.78809327262297</c:v>
                </c:pt>
                <c:pt idx="67">
                  <c:v>329.09552300049438</c:v>
                </c:pt>
                <c:pt idx="68">
                  <c:v>338.40295272836585</c:v>
                </c:pt>
                <c:pt idx="69">
                  <c:v>347.71038245623726</c:v>
                </c:pt>
                <c:pt idx="70">
                  <c:v>357.01781218410883</c:v>
                </c:pt>
                <c:pt idx="71">
                  <c:v>366.32524191198024</c:v>
                </c:pt>
                <c:pt idx="72">
                  <c:v>375.63267163985171</c:v>
                </c:pt>
                <c:pt idx="73">
                  <c:v>384.94010136772312</c:v>
                </c:pt>
                <c:pt idx="74">
                  <c:v>394.2475310955947</c:v>
                </c:pt>
                <c:pt idx="75">
                  <c:v>403.5549608234661</c:v>
                </c:pt>
                <c:pt idx="76">
                  <c:v>412.86239055133757</c:v>
                </c:pt>
                <c:pt idx="77">
                  <c:v>422.16982027920898</c:v>
                </c:pt>
                <c:pt idx="78">
                  <c:v>431.47725000708056</c:v>
                </c:pt>
                <c:pt idx="79">
                  <c:v>440.78467973495196</c:v>
                </c:pt>
                <c:pt idx="80">
                  <c:v>450.09210946282343</c:v>
                </c:pt>
                <c:pt idx="81">
                  <c:v>459.39953919069501</c:v>
                </c:pt>
                <c:pt idx="82">
                  <c:v>468.70696891856642</c:v>
                </c:pt>
                <c:pt idx="83">
                  <c:v>478.01439864643783</c:v>
                </c:pt>
                <c:pt idx="84">
                  <c:v>487.32182837430929</c:v>
                </c:pt>
                <c:pt idx="85">
                  <c:v>496.62925810218087</c:v>
                </c:pt>
                <c:pt idx="86">
                  <c:v>505.93668783005228</c:v>
                </c:pt>
                <c:pt idx="87">
                  <c:v>515.24411755792369</c:v>
                </c:pt>
                <c:pt idx="88">
                  <c:v>524.55154728579521</c:v>
                </c:pt>
                <c:pt idx="89">
                  <c:v>533.85897701366662</c:v>
                </c:pt>
                <c:pt idx="90">
                  <c:v>543.16640674153814</c:v>
                </c:pt>
                <c:pt idx="91">
                  <c:v>552.47383646940955</c:v>
                </c:pt>
                <c:pt idx="92">
                  <c:v>561.78126619728096</c:v>
                </c:pt>
                <c:pt idx="93">
                  <c:v>571.08869592515259</c:v>
                </c:pt>
                <c:pt idx="94">
                  <c:v>580.39612565302411</c:v>
                </c:pt>
                <c:pt idx="95">
                  <c:v>589.70355538089552</c:v>
                </c:pt>
                <c:pt idx="96">
                  <c:v>599.01098510876693</c:v>
                </c:pt>
                <c:pt idx="97">
                  <c:v>608.31841483663834</c:v>
                </c:pt>
                <c:pt idx="98">
                  <c:v>617.62584456450986</c:v>
                </c:pt>
                <c:pt idx="99">
                  <c:v>626.93327429238138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804.44500977264568</c:v>
                </c:pt>
                <c:pt idx="1">
                  <c:v>804.44500977264568</c:v>
                </c:pt>
                <c:pt idx="2">
                  <c:v>804.44654168104466</c:v>
                </c:pt>
                <c:pt idx="3">
                  <c:v>804.45904944732672</c:v>
                </c:pt>
                <c:pt idx="4">
                  <c:v>804.48414990999038</c:v>
                </c:pt>
                <c:pt idx="5">
                  <c:v>804.52184306903575</c:v>
                </c:pt>
                <c:pt idx="6">
                  <c:v>804.57212892446285</c:v>
                </c:pt>
                <c:pt idx="7">
                  <c:v>804.63500747627154</c:v>
                </c:pt>
                <c:pt idx="8">
                  <c:v>804.71047872446184</c:v>
                </c:pt>
                <c:pt idx="9">
                  <c:v>804.79854266903396</c:v>
                </c:pt>
                <c:pt idx="10">
                  <c:v>804.89919930998758</c:v>
                </c:pt>
                <c:pt idx="11">
                  <c:v>805.01244864732291</c:v>
                </c:pt>
                <c:pt idx="12">
                  <c:v>805.13829068103996</c:v>
                </c:pt>
                <c:pt idx="13">
                  <c:v>805.2767254111385</c:v>
                </c:pt>
                <c:pt idx="14">
                  <c:v>805.42775283761887</c:v>
                </c:pt>
                <c:pt idx="15">
                  <c:v>805.59137296048073</c:v>
                </c:pt>
                <c:pt idx="16">
                  <c:v>805.76758577972441</c:v>
                </c:pt>
                <c:pt idx="17">
                  <c:v>805.9563912953497</c:v>
                </c:pt>
                <c:pt idx="18">
                  <c:v>806.1577895073566</c:v>
                </c:pt>
                <c:pt idx="19">
                  <c:v>806.37178041574509</c:v>
                </c:pt>
                <c:pt idx="20">
                  <c:v>806.59836402051531</c:v>
                </c:pt>
                <c:pt idx="21">
                  <c:v>806.83754032166723</c:v>
                </c:pt>
                <c:pt idx="22">
                  <c:v>807.08930931920077</c:v>
                </c:pt>
                <c:pt idx="23">
                  <c:v>807.3536710131159</c:v>
                </c:pt>
                <c:pt idx="24">
                  <c:v>807.63062540341286</c:v>
                </c:pt>
                <c:pt idx="25">
                  <c:v>807.92017249009132</c:v>
                </c:pt>
                <c:pt idx="26">
                  <c:v>808.22231227315149</c:v>
                </c:pt>
                <c:pt idx="27">
                  <c:v>808.53704475259326</c:v>
                </c:pt>
                <c:pt idx="28">
                  <c:v>808.86436992841675</c:v>
                </c:pt>
                <c:pt idx="29">
                  <c:v>809.22330377035235</c:v>
                </c:pt>
                <c:pt idx="30">
                  <c:v>809.69300708613662</c:v>
                </c:pt>
                <c:pt idx="31">
                  <c:v>810.2821787665149</c:v>
                </c:pt>
                <c:pt idx="32">
                  <c:v>810.99081881148709</c:v>
                </c:pt>
                <c:pt idx="33">
                  <c:v>811.81892722105329</c:v>
                </c:pt>
                <c:pt idx="34">
                  <c:v>812.76650399521338</c:v>
                </c:pt>
                <c:pt idx="35">
                  <c:v>813.83354913396761</c:v>
                </c:pt>
                <c:pt idx="36">
                  <c:v>815.02006263731585</c:v>
                </c:pt>
                <c:pt idx="37">
                  <c:v>816.32604450525798</c:v>
                </c:pt>
                <c:pt idx="38">
                  <c:v>817.75149473779413</c:v>
                </c:pt>
                <c:pt idx="39">
                  <c:v>819.2964133349243</c:v>
                </c:pt>
                <c:pt idx="40">
                  <c:v>820.96080029664836</c:v>
                </c:pt>
                <c:pt idx="41">
                  <c:v>822.74465562296655</c:v>
                </c:pt>
                <c:pt idx="42">
                  <c:v>824.64797931387852</c:v>
                </c:pt>
                <c:pt idx="43">
                  <c:v>826.67077136938474</c:v>
                </c:pt>
                <c:pt idx="44">
                  <c:v>828.81303178948474</c:v>
                </c:pt>
                <c:pt idx="45">
                  <c:v>831.07476057417887</c:v>
                </c:pt>
                <c:pt idx="46">
                  <c:v>833.4559577234669</c:v>
                </c:pt>
                <c:pt idx="47">
                  <c:v>835.95662323734894</c:v>
                </c:pt>
                <c:pt idx="48">
                  <c:v>838.57675711582499</c:v>
                </c:pt>
                <c:pt idx="49">
                  <c:v>841.31635935889494</c:v>
                </c:pt>
                <c:pt idx="50">
                  <c:v>844.17542996655891</c:v>
                </c:pt>
                <c:pt idx="51">
                  <c:v>847.15396893881689</c:v>
                </c:pt>
                <c:pt idx="52">
                  <c:v>850.25197627566899</c:v>
                </c:pt>
                <c:pt idx="53">
                  <c:v>853.46945197711489</c:v>
                </c:pt>
                <c:pt idx="54">
                  <c:v>856.8063960431549</c:v>
                </c:pt>
                <c:pt idx="55">
                  <c:v>860.26280847378882</c:v>
                </c:pt>
                <c:pt idx="56">
                  <c:v>863.83868926901675</c:v>
                </c:pt>
                <c:pt idx="57">
                  <c:v>867.53403842883858</c:v>
                </c:pt>
                <c:pt idx="58">
                  <c:v>871.34885595325454</c:v>
                </c:pt>
                <c:pt idx="59">
                  <c:v>875.2831418422644</c:v>
                </c:pt>
                <c:pt idx="60">
                  <c:v>879.33689609586816</c:v>
                </c:pt>
                <c:pt idx="61">
                  <c:v>883.51011871406615</c:v>
                </c:pt>
                <c:pt idx="62">
                  <c:v>887.80280969685793</c:v>
                </c:pt>
                <c:pt idx="63">
                  <c:v>892.21496904424384</c:v>
                </c:pt>
                <c:pt idx="64">
                  <c:v>896.74659675622354</c:v>
                </c:pt>
                <c:pt idx="65">
                  <c:v>901.39769283279736</c:v>
                </c:pt>
                <c:pt idx="66">
                  <c:v>906.16825727396531</c:v>
                </c:pt>
                <c:pt idx="67">
                  <c:v>911.05829007972693</c:v>
                </c:pt>
                <c:pt idx="68">
                  <c:v>916.06779125008279</c:v>
                </c:pt>
                <c:pt idx="69">
                  <c:v>921.19676078503255</c:v>
                </c:pt>
                <c:pt idx="70">
                  <c:v>926.44519868457633</c:v>
                </c:pt>
                <c:pt idx="71">
                  <c:v>931.813104948714</c:v>
                </c:pt>
                <c:pt idx="72">
                  <c:v>937.30047957744569</c:v>
                </c:pt>
                <c:pt idx="73">
                  <c:v>942.9073225707715</c:v>
                </c:pt>
                <c:pt idx="74">
                  <c:v>948.6336339286911</c:v>
                </c:pt>
                <c:pt idx="75">
                  <c:v>954.47941365120482</c:v>
                </c:pt>
                <c:pt idx="76">
                  <c:v>960.44466173831245</c:v>
                </c:pt>
                <c:pt idx="77">
                  <c:v>966.52937819001409</c:v>
                </c:pt>
                <c:pt idx="78">
                  <c:v>972.73356300630974</c:v>
                </c:pt>
                <c:pt idx="79">
                  <c:v>979.0572161871994</c:v>
                </c:pt>
                <c:pt idx="80">
                  <c:v>985.50033773268296</c:v>
                </c:pt>
                <c:pt idx="81">
                  <c:v>992.06292764276054</c:v>
                </c:pt>
                <c:pt idx="82">
                  <c:v>998.74498591743225</c:v>
                </c:pt>
                <c:pt idx="83">
                  <c:v>1005.5465125566977</c:v>
                </c:pt>
                <c:pt idx="84">
                  <c:v>1012.4675075605572</c:v>
                </c:pt>
                <c:pt idx="85">
                  <c:v>1019.5079709290109</c:v>
                </c:pt>
                <c:pt idx="86">
                  <c:v>1026.6679026620584</c:v>
                </c:pt>
                <c:pt idx="87">
                  <c:v>1033.9473027597001</c:v>
                </c:pt>
                <c:pt idx="88">
                  <c:v>1041.3461712219355</c:v>
                </c:pt>
                <c:pt idx="89">
                  <c:v>1048.8645080487649</c:v>
                </c:pt>
                <c:pt idx="90">
                  <c:v>1056.5023132401884</c:v>
                </c:pt>
                <c:pt idx="91">
                  <c:v>1064.2595867962059</c:v>
                </c:pt>
                <c:pt idx="92">
                  <c:v>1072.1363287168174</c:v>
                </c:pt>
                <c:pt idx="93">
                  <c:v>1080.1325390020229</c:v>
                </c:pt>
                <c:pt idx="94">
                  <c:v>1088.2482176518222</c:v>
                </c:pt>
                <c:pt idx="95">
                  <c:v>1096.4833646662157</c:v>
                </c:pt>
                <c:pt idx="96">
                  <c:v>1104.837980045203</c:v>
                </c:pt>
                <c:pt idx="97">
                  <c:v>1113.3120637887844</c:v>
                </c:pt>
                <c:pt idx="98">
                  <c:v>1121.9056158969597</c:v>
                </c:pt>
                <c:pt idx="99">
                  <c:v>1130.6186363697293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-194.66221378212111</c:v>
                </c:pt>
                <c:pt idx="2">
                  <c:v>-186.11969996054734</c:v>
                </c:pt>
                <c:pt idx="3">
                  <c:v>-177.57718613897356</c:v>
                </c:pt>
                <c:pt idx="4">
                  <c:v>-169.03467231739981</c:v>
                </c:pt>
                <c:pt idx="5">
                  <c:v>-160.49215849582606</c:v>
                </c:pt>
                <c:pt idx="6">
                  <c:v>-151.94964467425231</c:v>
                </c:pt>
                <c:pt idx="7">
                  <c:v>-143.40713085267853</c:v>
                </c:pt>
                <c:pt idx="8">
                  <c:v>-134.86461703110479</c:v>
                </c:pt>
                <c:pt idx="9">
                  <c:v>-126.32210320953102</c:v>
                </c:pt>
                <c:pt idx="10">
                  <c:v>-117.77958938795726</c:v>
                </c:pt>
                <c:pt idx="11">
                  <c:v>-109.23707556638348</c:v>
                </c:pt>
                <c:pt idx="12">
                  <c:v>-100.69456174480973</c:v>
                </c:pt>
                <c:pt idx="13">
                  <c:v>-92.152047923235983</c:v>
                </c:pt>
                <c:pt idx="14">
                  <c:v>-83.609534101662206</c:v>
                </c:pt>
                <c:pt idx="15">
                  <c:v>-75.067020280088443</c:v>
                </c:pt>
                <c:pt idx="16">
                  <c:v>-66.524506458514693</c:v>
                </c:pt>
                <c:pt idx="17">
                  <c:v>-57.981992636940937</c:v>
                </c:pt>
                <c:pt idx="18">
                  <c:v>-49.439478815367181</c:v>
                </c:pt>
                <c:pt idx="19">
                  <c:v>-40.896964993793404</c:v>
                </c:pt>
                <c:pt idx="20">
                  <c:v>-32.354451172219648</c:v>
                </c:pt>
                <c:pt idx="21">
                  <c:v>-23.811937350645895</c:v>
                </c:pt>
                <c:pt idx="22">
                  <c:v>-15.269423529072112</c:v>
                </c:pt>
                <c:pt idx="23">
                  <c:v>-6.7269097074983586</c:v>
                </c:pt>
                <c:pt idx="24">
                  <c:v>1.8156041140753951</c:v>
                </c:pt>
                <c:pt idx="25">
                  <c:v>10.358117935649149</c:v>
                </c:pt>
                <c:pt idx="26">
                  <c:v>18.9006317572229</c:v>
                </c:pt>
                <c:pt idx="27">
                  <c:v>27.443145578796685</c:v>
                </c:pt>
                <c:pt idx="28">
                  <c:v>35.985659400370437</c:v>
                </c:pt>
                <c:pt idx="29">
                  <c:v>44.528173221944193</c:v>
                </c:pt>
                <c:pt idx="30">
                  <c:v>53.070687043517971</c:v>
                </c:pt>
                <c:pt idx="31">
                  <c:v>61.613200865091727</c:v>
                </c:pt>
                <c:pt idx="32">
                  <c:v>70.155714686665476</c:v>
                </c:pt>
                <c:pt idx="33">
                  <c:v>78.698228508239239</c:v>
                </c:pt>
                <c:pt idx="34">
                  <c:v>87.240742329812988</c:v>
                </c:pt>
                <c:pt idx="35">
                  <c:v>95.783256151386738</c:v>
                </c:pt>
                <c:pt idx="36">
                  <c:v>104.3257699729605</c:v>
                </c:pt>
                <c:pt idx="37">
                  <c:v>112.86828379453431</c:v>
                </c:pt>
                <c:pt idx="38">
                  <c:v>121.41079761610806</c:v>
                </c:pt>
                <c:pt idx="39">
                  <c:v>129.9533114376818</c:v>
                </c:pt>
                <c:pt idx="40">
                  <c:v>138.49582525925555</c:v>
                </c:pt>
                <c:pt idx="41">
                  <c:v>147.03833908082933</c:v>
                </c:pt>
                <c:pt idx="42">
                  <c:v>155.58085290240308</c:v>
                </c:pt>
                <c:pt idx="43">
                  <c:v>164.12336672397683</c:v>
                </c:pt>
                <c:pt idx="44">
                  <c:v>172.66588054555064</c:v>
                </c:pt>
                <c:pt idx="45">
                  <c:v>181.20839436712438</c:v>
                </c:pt>
                <c:pt idx="46">
                  <c:v>189.75090818869813</c:v>
                </c:pt>
                <c:pt idx="47">
                  <c:v>198.29342201027191</c:v>
                </c:pt>
                <c:pt idx="48">
                  <c:v>206.83593583184566</c:v>
                </c:pt>
                <c:pt idx="49">
                  <c:v>215.37844965341941</c:v>
                </c:pt>
                <c:pt idx="50">
                  <c:v>223.92096347499316</c:v>
                </c:pt>
                <c:pt idx="51">
                  <c:v>232.46347729656691</c:v>
                </c:pt>
                <c:pt idx="52">
                  <c:v>241.00599111814066</c:v>
                </c:pt>
                <c:pt idx="53">
                  <c:v>249.54850493971446</c:v>
                </c:pt>
                <c:pt idx="54">
                  <c:v>258.09101876128824</c:v>
                </c:pt>
                <c:pt idx="55">
                  <c:v>266.63353258286196</c:v>
                </c:pt>
                <c:pt idx="56">
                  <c:v>275.17604640443574</c:v>
                </c:pt>
                <c:pt idx="57">
                  <c:v>283.71856022600946</c:v>
                </c:pt>
                <c:pt idx="58">
                  <c:v>292.26107404758329</c:v>
                </c:pt>
                <c:pt idx="59">
                  <c:v>300.80358786915696</c:v>
                </c:pt>
                <c:pt idx="60">
                  <c:v>309.34610169073079</c:v>
                </c:pt>
                <c:pt idx="61">
                  <c:v>317.88861551230457</c:v>
                </c:pt>
                <c:pt idx="62">
                  <c:v>326.43112933387829</c:v>
                </c:pt>
                <c:pt idx="63">
                  <c:v>334.97364315545195</c:v>
                </c:pt>
                <c:pt idx="64">
                  <c:v>343.51615697702579</c:v>
                </c:pt>
                <c:pt idx="65">
                  <c:v>352.05867079859962</c:v>
                </c:pt>
                <c:pt idx="66">
                  <c:v>360.60118462017329</c:v>
                </c:pt>
                <c:pt idx="67">
                  <c:v>369.14369844174712</c:v>
                </c:pt>
                <c:pt idx="68">
                  <c:v>377.68621226332078</c:v>
                </c:pt>
                <c:pt idx="69">
                  <c:v>386.22872608489462</c:v>
                </c:pt>
                <c:pt idx="70">
                  <c:v>394.77123990646834</c:v>
                </c:pt>
                <c:pt idx="71">
                  <c:v>403.31375372804212</c:v>
                </c:pt>
                <c:pt idx="72">
                  <c:v>411.85626754961584</c:v>
                </c:pt>
                <c:pt idx="73">
                  <c:v>420.39878137118961</c:v>
                </c:pt>
                <c:pt idx="74">
                  <c:v>428.94129519276345</c:v>
                </c:pt>
                <c:pt idx="75">
                  <c:v>437.48380901433711</c:v>
                </c:pt>
                <c:pt idx="76">
                  <c:v>446.02632283591095</c:v>
                </c:pt>
                <c:pt idx="77">
                  <c:v>454.56883665748467</c:v>
                </c:pt>
                <c:pt idx="78">
                  <c:v>463.11135047905844</c:v>
                </c:pt>
                <c:pt idx="79">
                  <c:v>471.65386430063216</c:v>
                </c:pt>
                <c:pt idx="80">
                  <c:v>480.19637812220594</c:v>
                </c:pt>
                <c:pt idx="81">
                  <c:v>488.73889194377978</c:v>
                </c:pt>
                <c:pt idx="82">
                  <c:v>497.2814057653535</c:v>
                </c:pt>
                <c:pt idx="83">
                  <c:v>505.82391958692727</c:v>
                </c:pt>
                <c:pt idx="84">
                  <c:v>514.36643340850094</c:v>
                </c:pt>
                <c:pt idx="85">
                  <c:v>522.90894723007477</c:v>
                </c:pt>
                <c:pt idx="86">
                  <c:v>531.45146105164849</c:v>
                </c:pt>
                <c:pt idx="87">
                  <c:v>539.99397487322233</c:v>
                </c:pt>
                <c:pt idx="88">
                  <c:v>548.53648869479616</c:v>
                </c:pt>
                <c:pt idx="89">
                  <c:v>557.07900251636977</c:v>
                </c:pt>
                <c:pt idx="90">
                  <c:v>565.6215163379436</c:v>
                </c:pt>
                <c:pt idx="91">
                  <c:v>574.16403015951732</c:v>
                </c:pt>
                <c:pt idx="92">
                  <c:v>582.70654398109116</c:v>
                </c:pt>
                <c:pt idx="93">
                  <c:v>591.24905780266477</c:v>
                </c:pt>
                <c:pt idx="94">
                  <c:v>599.7915716242386</c:v>
                </c:pt>
                <c:pt idx="95">
                  <c:v>608.33408544581232</c:v>
                </c:pt>
                <c:pt idx="96">
                  <c:v>616.87659926738615</c:v>
                </c:pt>
                <c:pt idx="97">
                  <c:v>625.41911308895999</c:v>
                </c:pt>
                <c:pt idx="98">
                  <c:v>633.9616269105336</c:v>
                </c:pt>
                <c:pt idx="99">
                  <c:v>642.50414073210732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-15.604905869216092</c:v>
                </c:pt>
                <c:pt idx="1">
                  <c:v>-15.604905869216092</c:v>
                </c:pt>
                <c:pt idx="2">
                  <c:v>-15.580520318030255</c:v>
                </c:pt>
                <c:pt idx="3">
                  <c:v>-15.491863421254012</c:v>
                </c:pt>
                <c:pt idx="4">
                  <c:v>-15.338363950551019</c:v>
                </c:pt>
                <c:pt idx="5">
                  <c:v>-15.120021905921268</c:v>
                </c:pt>
                <c:pt idx="6">
                  <c:v>-14.836837287364768</c:v>
                </c:pt>
                <c:pt idx="7">
                  <c:v>-14.48881009488151</c:v>
                </c:pt>
                <c:pt idx="8">
                  <c:v>-14.075940328471502</c:v>
                </c:pt>
                <c:pt idx="9">
                  <c:v>-13.598227988134738</c:v>
                </c:pt>
                <c:pt idx="10">
                  <c:v>-13.055673073871221</c:v>
                </c:pt>
                <c:pt idx="11">
                  <c:v>-12.448275585680948</c:v>
                </c:pt>
                <c:pt idx="12">
                  <c:v>-11.776035523563927</c:v>
                </c:pt>
                <c:pt idx="13">
                  <c:v>-11.03895288752015</c:v>
                </c:pt>
                <c:pt idx="14">
                  <c:v>-10.237027677549618</c:v>
                </c:pt>
                <c:pt idx="15">
                  <c:v>-9.3702598936523316</c:v>
                </c:pt>
                <c:pt idx="16">
                  <c:v>-8.4386495358282936</c:v>
                </c:pt>
                <c:pt idx="17">
                  <c:v>-7.4421966040775018</c:v>
                </c:pt>
                <c:pt idx="18">
                  <c:v>-6.3809010983999563</c:v>
                </c:pt>
                <c:pt idx="19">
                  <c:v>-5.2547630187956536</c:v>
                </c:pt>
                <c:pt idx="20">
                  <c:v>-4.0637823652646006</c:v>
                </c:pt>
                <c:pt idx="21">
                  <c:v>-2.7619067666512818</c:v>
                </c:pt>
                <c:pt idx="22">
                  <c:v>-1.2329356160562304</c:v>
                </c:pt>
                <c:pt idx="23">
                  <c:v>0.52877749238588678</c:v>
                </c:pt>
                <c:pt idx="24">
                  <c:v>2.5232325586750752</c:v>
                </c:pt>
                <c:pt idx="25">
                  <c:v>4.7504295828113339</c:v>
                </c:pt>
                <c:pt idx="26">
                  <c:v>7.2103685647946643</c:v>
                </c:pt>
                <c:pt idx="27">
                  <c:v>9.903049504625077</c:v>
                </c:pt>
                <c:pt idx="28">
                  <c:v>12.82847240230255</c:v>
                </c:pt>
                <c:pt idx="29">
                  <c:v>15.986637257827095</c:v>
                </c:pt>
                <c:pt idx="30">
                  <c:v>19.377544071198724</c:v>
                </c:pt>
                <c:pt idx="31">
                  <c:v>23.00119284241741</c:v>
                </c:pt>
                <c:pt idx="32">
                  <c:v>26.857583571483168</c:v>
                </c:pt>
                <c:pt idx="33">
                  <c:v>30.946716258395998</c:v>
                </c:pt>
                <c:pt idx="34">
                  <c:v>35.268590903155896</c:v>
                </c:pt>
                <c:pt idx="35">
                  <c:v>39.82320750576288</c:v>
                </c:pt>
                <c:pt idx="36">
                  <c:v>44.610566066216919</c:v>
                </c:pt>
                <c:pt idx="37">
                  <c:v>49.630666584518067</c:v>
                </c:pt>
                <c:pt idx="38">
                  <c:v>54.883509060666256</c:v>
                </c:pt>
                <c:pt idx="39">
                  <c:v>60.369093494661513</c:v>
                </c:pt>
                <c:pt idx="40">
                  <c:v>66.087419886503838</c:v>
                </c:pt>
                <c:pt idx="41">
                  <c:v>72.038488236193245</c:v>
                </c:pt>
                <c:pt idx="42">
                  <c:v>78.222298543729721</c:v>
                </c:pt>
                <c:pt idx="43">
                  <c:v>84.638850809113265</c:v>
                </c:pt>
                <c:pt idx="44">
                  <c:v>91.28814503234392</c:v>
                </c:pt>
                <c:pt idx="45">
                  <c:v>98.1701812134216</c:v>
                </c:pt>
                <c:pt idx="46">
                  <c:v>105.28495935234638</c:v>
                </c:pt>
                <c:pt idx="47">
                  <c:v>112.63247944911818</c:v>
                </c:pt>
                <c:pt idx="48">
                  <c:v>120.21274150373709</c:v>
                </c:pt>
                <c:pt idx="49">
                  <c:v>128.02574551620305</c:v>
                </c:pt>
                <c:pt idx="50">
                  <c:v>136.07149148651609</c:v>
                </c:pt>
                <c:pt idx="51">
                  <c:v>144.34997941467623</c:v>
                </c:pt>
                <c:pt idx="52">
                  <c:v>152.86120930068338</c:v>
                </c:pt>
                <c:pt idx="53">
                  <c:v>161.60518114453768</c:v>
                </c:pt>
                <c:pt idx="54">
                  <c:v>170.58189494623903</c:v>
                </c:pt>
                <c:pt idx="55">
                  <c:v>179.79135070578738</c:v>
                </c:pt>
                <c:pt idx="56">
                  <c:v>189.23354842318292</c:v>
                </c:pt>
                <c:pt idx="57">
                  <c:v>198.90848809842541</c:v>
                </c:pt>
                <c:pt idx="58">
                  <c:v>208.81616973151509</c:v>
                </c:pt>
                <c:pt idx="59">
                  <c:v>218.95659332245171</c:v>
                </c:pt>
                <c:pt idx="60">
                  <c:v>229.32975887123553</c:v>
                </c:pt>
                <c:pt idx="61">
                  <c:v>239.93566637786643</c:v>
                </c:pt>
                <c:pt idx="62">
                  <c:v>250.77431584234427</c:v>
                </c:pt>
                <c:pt idx="63">
                  <c:v>261.84570726466916</c:v>
                </c:pt>
                <c:pt idx="64">
                  <c:v>273.14984064484128</c:v>
                </c:pt>
                <c:pt idx="65">
                  <c:v>284.68671598286045</c:v>
                </c:pt>
                <c:pt idx="66">
                  <c:v>296.45633327872656</c:v>
                </c:pt>
                <c:pt idx="67">
                  <c:v>308.4586925324399</c:v>
                </c:pt>
                <c:pt idx="68">
                  <c:v>320.69379374400017</c:v>
                </c:pt>
                <c:pt idx="69">
                  <c:v>333.16163691340762</c:v>
                </c:pt>
                <c:pt idx="70">
                  <c:v>345.862222040662</c:v>
                </c:pt>
                <c:pt idx="71">
                  <c:v>358.79554912576361</c:v>
                </c:pt>
                <c:pt idx="72">
                  <c:v>371.96161816871216</c:v>
                </c:pt>
                <c:pt idx="73">
                  <c:v>385.36042916950788</c:v>
                </c:pt>
                <c:pt idx="74">
                  <c:v>398.99198212815077</c:v>
                </c:pt>
                <c:pt idx="75">
                  <c:v>412.85627704464054</c:v>
                </c:pt>
                <c:pt idx="76">
                  <c:v>426.95331391897753</c:v>
                </c:pt>
                <c:pt idx="77">
                  <c:v>441.28309275116135</c:v>
                </c:pt>
                <c:pt idx="78">
                  <c:v>455.84561354119251</c:v>
                </c:pt>
                <c:pt idx="79">
                  <c:v>470.64087628907049</c:v>
                </c:pt>
                <c:pt idx="80">
                  <c:v>485.66888099479576</c:v>
                </c:pt>
                <c:pt idx="81">
                  <c:v>500.92962765836813</c:v>
                </c:pt>
                <c:pt idx="82">
                  <c:v>516.42311627978745</c:v>
                </c:pt>
                <c:pt idx="83">
                  <c:v>532.14934685905394</c:v>
                </c:pt>
                <c:pt idx="84">
                  <c:v>548.10831939616719</c:v>
                </c:pt>
                <c:pt idx="85">
                  <c:v>564.30003389112778</c:v>
                </c:pt>
                <c:pt idx="86">
                  <c:v>580.72449034393537</c:v>
                </c:pt>
                <c:pt idx="87">
                  <c:v>597.38168875459019</c:v>
                </c:pt>
                <c:pt idx="88">
                  <c:v>614.27162912309211</c:v>
                </c:pt>
                <c:pt idx="89">
                  <c:v>631.39431144944069</c:v>
                </c:pt>
                <c:pt idx="90">
                  <c:v>648.74973573363673</c:v>
                </c:pt>
                <c:pt idx="91">
                  <c:v>666.33790197567953</c:v>
                </c:pt>
                <c:pt idx="92">
                  <c:v>684.15881017556978</c:v>
                </c:pt>
                <c:pt idx="93">
                  <c:v>702.21246033330681</c:v>
                </c:pt>
                <c:pt idx="94">
                  <c:v>720.49885244889117</c:v>
                </c:pt>
                <c:pt idx="95">
                  <c:v>739.01798652232208</c:v>
                </c:pt>
                <c:pt idx="96">
                  <c:v>757.76986255360066</c:v>
                </c:pt>
                <c:pt idx="97">
                  <c:v>776.75448054272624</c:v>
                </c:pt>
                <c:pt idx="98">
                  <c:v>795.97184048969848</c:v>
                </c:pt>
                <c:pt idx="99">
                  <c:v>815.42194239451794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-194.66221378212111</c:v>
                </c:pt>
                <c:pt idx="2">
                  <c:v>-186.11969996054734</c:v>
                </c:pt>
                <c:pt idx="3">
                  <c:v>-177.57718613897356</c:v>
                </c:pt>
                <c:pt idx="4">
                  <c:v>-169.03467231739981</c:v>
                </c:pt>
                <c:pt idx="5">
                  <c:v>-160.49215849582606</c:v>
                </c:pt>
                <c:pt idx="6">
                  <c:v>-151.94964467425231</c:v>
                </c:pt>
                <c:pt idx="7">
                  <c:v>-143.40713085267853</c:v>
                </c:pt>
                <c:pt idx="8">
                  <c:v>-134.86461703110479</c:v>
                </c:pt>
                <c:pt idx="9">
                  <c:v>-126.32210320953102</c:v>
                </c:pt>
                <c:pt idx="10">
                  <c:v>-117.77958938795726</c:v>
                </c:pt>
                <c:pt idx="11">
                  <c:v>-109.23707556638348</c:v>
                </c:pt>
                <c:pt idx="12">
                  <c:v>-100.69456174480973</c:v>
                </c:pt>
                <c:pt idx="13">
                  <c:v>-92.152047923235983</c:v>
                </c:pt>
                <c:pt idx="14">
                  <c:v>-83.609534101662206</c:v>
                </c:pt>
                <c:pt idx="15">
                  <c:v>-75.067020280088443</c:v>
                </c:pt>
                <c:pt idx="16">
                  <c:v>-66.524506458514693</c:v>
                </c:pt>
                <c:pt idx="17">
                  <c:v>-57.981992636940937</c:v>
                </c:pt>
                <c:pt idx="18">
                  <c:v>-49.439478815367181</c:v>
                </c:pt>
                <c:pt idx="19">
                  <c:v>-40.896964993793404</c:v>
                </c:pt>
                <c:pt idx="20">
                  <c:v>-32.354451172219648</c:v>
                </c:pt>
                <c:pt idx="21">
                  <c:v>-23.811937350645895</c:v>
                </c:pt>
                <c:pt idx="22">
                  <c:v>-15.269423529072112</c:v>
                </c:pt>
                <c:pt idx="23">
                  <c:v>-6.7269097074983586</c:v>
                </c:pt>
                <c:pt idx="24">
                  <c:v>1.8156041140753951</c:v>
                </c:pt>
                <c:pt idx="25">
                  <c:v>10.358117935649149</c:v>
                </c:pt>
                <c:pt idx="26">
                  <c:v>18.9006317572229</c:v>
                </c:pt>
                <c:pt idx="27">
                  <c:v>27.443145578796685</c:v>
                </c:pt>
                <c:pt idx="28">
                  <c:v>35.985659400370437</c:v>
                </c:pt>
                <c:pt idx="29">
                  <c:v>44.528173221944193</c:v>
                </c:pt>
                <c:pt idx="30">
                  <c:v>53.070687043517971</c:v>
                </c:pt>
                <c:pt idx="31">
                  <c:v>61.613200865091727</c:v>
                </c:pt>
                <c:pt idx="32">
                  <c:v>70.155714686665476</c:v>
                </c:pt>
                <c:pt idx="33">
                  <c:v>78.698228508239239</c:v>
                </c:pt>
                <c:pt idx="34">
                  <c:v>87.240742329812988</c:v>
                </c:pt>
                <c:pt idx="35">
                  <c:v>95.783256151386738</c:v>
                </c:pt>
                <c:pt idx="36">
                  <c:v>104.3257699729605</c:v>
                </c:pt>
                <c:pt idx="37">
                  <c:v>112.86828379453431</c:v>
                </c:pt>
                <c:pt idx="38">
                  <c:v>121.41079761610806</c:v>
                </c:pt>
                <c:pt idx="39">
                  <c:v>129.9533114376818</c:v>
                </c:pt>
                <c:pt idx="40">
                  <c:v>138.49582525925555</c:v>
                </c:pt>
                <c:pt idx="41">
                  <c:v>147.03833908082933</c:v>
                </c:pt>
                <c:pt idx="42">
                  <c:v>155.58085290240308</c:v>
                </c:pt>
                <c:pt idx="43">
                  <c:v>164.12336672397683</c:v>
                </c:pt>
                <c:pt idx="44">
                  <c:v>172.66588054555064</c:v>
                </c:pt>
                <c:pt idx="45">
                  <c:v>181.20839436712438</c:v>
                </c:pt>
                <c:pt idx="46">
                  <c:v>189.75090818869813</c:v>
                </c:pt>
                <c:pt idx="47">
                  <c:v>198.29342201027191</c:v>
                </c:pt>
                <c:pt idx="48">
                  <c:v>206.83593583184566</c:v>
                </c:pt>
                <c:pt idx="49">
                  <c:v>215.37844965341941</c:v>
                </c:pt>
                <c:pt idx="50">
                  <c:v>223.92096347499316</c:v>
                </c:pt>
                <c:pt idx="51">
                  <c:v>232.46347729656691</c:v>
                </c:pt>
                <c:pt idx="52">
                  <c:v>241.00599111814066</c:v>
                </c:pt>
                <c:pt idx="53">
                  <c:v>249.54850493971446</c:v>
                </c:pt>
                <c:pt idx="54">
                  <c:v>258.09101876128824</c:v>
                </c:pt>
                <c:pt idx="55">
                  <c:v>266.63353258286196</c:v>
                </c:pt>
                <c:pt idx="56">
                  <c:v>275.17604640443574</c:v>
                </c:pt>
                <c:pt idx="57">
                  <c:v>283.71856022600946</c:v>
                </c:pt>
                <c:pt idx="58">
                  <c:v>292.26107404758329</c:v>
                </c:pt>
                <c:pt idx="59">
                  <c:v>300.80358786915696</c:v>
                </c:pt>
                <c:pt idx="60">
                  <c:v>309.34610169073079</c:v>
                </c:pt>
                <c:pt idx="61">
                  <c:v>317.88861551230457</c:v>
                </c:pt>
                <c:pt idx="62">
                  <c:v>326.43112933387829</c:v>
                </c:pt>
                <c:pt idx="63">
                  <c:v>334.97364315545195</c:v>
                </c:pt>
                <c:pt idx="64">
                  <c:v>343.51615697702579</c:v>
                </c:pt>
                <c:pt idx="65">
                  <c:v>352.05867079859962</c:v>
                </c:pt>
                <c:pt idx="66">
                  <c:v>360.60118462017329</c:v>
                </c:pt>
                <c:pt idx="67">
                  <c:v>369.14369844174712</c:v>
                </c:pt>
                <c:pt idx="68">
                  <c:v>377.68621226332078</c:v>
                </c:pt>
                <c:pt idx="69">
                  <c:v>386.22872608489462</c:v>
                </c:pt>
                <c:pt idx="70">
                  <c:v>394.77123990646834</c:v>
                </c:pt>
                <c:pt idx="71">
                  <c:v>403.31375372804212</c:v>
                </c:pt>
                <c:pt idx="72">
                  <c:v>411.85626754961584</c:v>
                </c:pt>
                <c:pt idx="73">
                  <c:v>420.39878137118961</c:v>
                </c:pt>
                <c:pt idx="74">
                  <c:v>428.94129519276345</c:v>
                </c:pt>
                <c:pt idx="75">
                  <c:v>437.48380901433711</c:v>
                </c:pt>
                <c:pt idx="76">
                  <c:v>446.02632283591095</c:v>
                </c:pt>
                <c:pt idx="77">
                  <c:v>454.56883665748467</c:v>
                </c:pt>
                <c:pt idx="78">
                  <c:v>463.11135047905844</c:v>
                </c:pt>
                <c:pt idx="79">
                  <c:v>471.65386430063216</c:v>
                </c:pt>
                <c:pt idx="80">
                  <c:v>480.19637812220594</c:v>
                </c:pt>
                <c:pt idx="81">
                  <c:v>488.73889194377978</c:v>
                </c:pt>
                <c:pt idx="82">
                  <c:v>497.2814057653535</c:v>
                </c:pt>
                <c:pt idx="83">
                  <c:v>505.82391958692727</c:v>
                </c:pt>
                <c:pt idx="84">
                  <c:v>514.36643340850094</c:v>
                </c:pt>
                <c:pt idx="85">
                  <c:v>522.90894723007477</c:v>
                </c:pt>
                <c:pt idx="86">
                  <c:v>531.45146105164849</c:v>
                </c:pt>
                <c:pt idx="87">
                  <c:v>539.99397487322233</c:v>
                </c:pt>
                <c:pt idx="88">
                  <c:v>548.53648869479616</c:v>
                </c:pt>
                <c:pt idx="89">
                  <c:v>557.07900251636977</c:v>
                </c:pt>
                <c:pt idx="90">
                  <c:v>565.6215163379436</c:v>
                </c:pt>
                <c:pt idx="91">
                  <c:v>574.16403015951732</c:v>
                </c:pt>
                <c:pt idx="92">
                  <c:v>582.70654398109116</c:v>
                </c:pt>
                <c:pt idx="93">
                  <c:v>591.24905780266477</c:v>
                </c:pt>
                <c:pt idx="94">
                  <c:v>599.7915716242386</c:v>
                </c:pt>
                <c:pt idx="95">
                  <c:v>608.33408544581232</c:v>
                </c:pt>
                <c:pt idx="96">
                  <c:v>616.87659926738615</c:v>
                </c:pt>
                <c:pt idx="97">
                  <c:v>625.41911308895999</c:v>
                </c:pt>
                <c:pt idx="98">
                  <c:v>633.9616269105336</c:v>
                </c:pt>
                <c:pt idx="99">
                  <c:v>642.50414073210732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808.2497669844746</c:v>
                </c:pt>
                <c:pt idx="1">
                  <c:v>808.2497669844746</c:v>
                </c:pt>
                <c:pt idx="2">
                  <c:v>808.25130947530374</c:v>
                </c:pt>
                <c:pt idx="3">
                  <c:v>808.25691740473621</c:v>
                </c:pt>
                <c:pt idx="4">
                  <c:v>808.26662690541707</c:v>
                </c:pt>
                <c:pt idx="5">
                  <c:v>808.28043797734631</c:v>
                </c:pt>
                <c:pt idx="6">
                  <c:v>808.29835062052416</c:v>
                </c:pt>
                <c:pt idx="7">
                  <c:v>808.32036483495028</c:v>
                </c:pt>
                <c:pt idx="8">
                  <c:v>808.34648062062513</c:v>
                </c:pt>
                <c:pt idx="9">
                  <c:v>808.37669797754825</c:v>
                </c:pt>
                <c:pt idx="10">
                  <c:v>808.41101690571986</c:v>
                </c:pt>
                <c:pt idx="11">
                  <c:v>808.44943740513986</c:v>
                </c:pt>
                <c:pt idx="12">
                  <c:v>808.49195947580859</c:v>
                </c:pt>
                <c:pt idx="13">
                  <c:v>808.53858311772558</c:v>
                </c:pt>
                <c:pt idx="14">
                  <c:v>808.58930833089107</c:v>
                </c:pt>
                <c:pt idx="15">
                  <c:v>808.64413511530495</c:v>
                </c:pt>
                <c:pt idx="16">
                  <c:v>808.70306347096744</c:v>
                </c:pt>
                <c:pt idx="17">
                  <c:v>808.76609339787831</c:v>
                </c:pt>
                <c:pt idx="18">
                  <c:v>808.83322489603768</c:v>
                </c:pt>
                <c:pt idx="19">
                  <c:v>808.90445796544543</c:v>
                </c:pt>
                <c:pt idx="20">
                  <c:v>808.97979260610168</c:v>
                </c:pt>
                <c:pt idx="21">
                  <c:v>809.08609109853774</c:v>
                </c:pt>
                <c:pt idx="22">
                  <c:v>809.2911330862795</c:v>
                </c:pt>
                <c:pt idx="23">
                  <c:v>809.5982121095841</c:v>
                </c:pt>
                <c:pt idx="24">
                  <c:v>810.00732816845175</c:v>
                </c:pt>
                <c:pt idx="25">
                  <c:v>810.51848126288235</c:v>
                </c:pt>
                <c:pt idx="26">
                  <c:v>811.131671392876</c:v>
                </c:pt>
                <c:pt idx="27">
                  <c:v>811.8468985584326</c:v>
                </c:pt>
                <c:pt idx="28">
                  <c:v>812.66416275955226</c:v>
                </c:pt>
                <c:pt idx="29">
                  <c:v>813.58346399623485</c:v>
                </c:pt>
                <c:pt idx="30">
                  <c:v>814.6048022684804</c:v>
                </c:pt>
                <c:pt idx="31">
                  <c:v>815.72817757628889</c:v>
                </c:pt>
                <c:pt idx="32">
                  <c:v>816.95358991966054</c:v>
                </c:pt>
                <c:pt idx="33">
                  <c:v>818.28103929859515</c:v>
                </c:pt>
                <c:pt idx="34">
                  <c:v>819.71052571309269</c:v>
                </c:pt>
                <c:pt idx="35">
                  <c:v>821.24204916315318</c:v>
                </c:pt>
                <c:pt idx="36">
                  <c:v>822.87560964877673</c:v>
                </c:pt>
                <c:pt idx="37">
                  <c:v>824.61120716996334</c:v>
                </c:pt>
                <c:pt idx="38">
                  <c:v>826.44884172671277</c:v>
                </c:pt>
                <c:pt idx="39">
                  <c:v>828.38851331902526</c:v>
                </c:pt>
                <c:pt idx="40">
                  <c:v>830.43022194690082</c:v>
                </c:pt>
                <c:pt idx="41">
                  <c:v>832.57396761033931</c:v>
                </c:pt>
                <c:pt idx="42">
                  <c:v>834.81975030934075</c:v>
                </c:pt>
                <c:pt idx="43">
                  <c:v>837.16757004390524</c:v>
                </c:pt>
                <c:pt idx="44">
                  <c:v>839.61742681403268</c:v>
                </c:pt>
                <c:pt idx="45">
                  <c:v>842.16932061972318</c:v>
                </c:pt>
                <c:pt idx="46">
                  <c:v>844.82325146097662</c:v>
                </c:pt>
                <c:pt idx="47">
                  <c:v>847.57921933779312</c:v>
                </c:pt>
                <c:pt idx="48">
                  <c:v>850.43722425017245</c:v>
                </c:pt>
                <c:pt idx="49">
                  <c:v>853.39726619811495</c:v>
                </c:pt>
                <c:pt idx="50">
                  <c:v>856.45934518162028</c:v>
                </c:pt>
                <c:pt idx="51">
                  <c:v>859.62346120068878</c:v>
                </c:pt>
                <c:pt idx="52">
                  <c:v>862.88961425532011</c:v>
                </c:pt>
                <c:pt idx="53">
                  <c:v>866.2578043455145</c:v>
                </c:pt>
                <c:pt idx="54">
                  <c:v>869.72803147127195</c:v>
                </c:pt>
                <c:pt idx="55">
                  <c:v>873.30029563259234</c:v>
                </c:pt>
                <c:pt idx="56">
                  <c:v>876.97459682947567</c:v>
                </c:pt>
                <c:pt idx="57">
                  <c:v>880.75093506192206</c:v>
                </c:pt>
                <c:pt idx="58">
                  <c:v>884.62931032993129</c:v>
                </c:pt>
                <c:pt idx="59">
                  <c:v>888.60972263350368</c:v>
                </c:pt>
                <c:pt idx="60">
                  <c:v>892.69217197263902</c:v>
                </c:pt>
                <c:pt idx="61">
                  <c:v>896.87665834733741</c:v>
                </c:pt>
                <c:pt idx="62">
                  <c:v>901.16318175759864</c:v>
                </c:pt>
                <c:pt idx="63">
                  <c:v>905.55174220342292</c:v>
                </c:pt>
                <c:pt idx="64">
                  <c:v>910.04233968481026</c:v>
                </c:pt>
                <c:pt idx="65">
                  <c:v>914.63497420176066</c:v>
                </c:pt>
                <c:pt idx="66">
                  <c:v>919.32964575427388</c:v>
                </c:pt>
                <c:pt idx="67">
                  <c:v>924.12635434235017</c:v>
                </c:pt>
                <c:pt idx="68">
                  <c:v>929.0250999659894</c:v>
                </c:pt>
                <c:pt idx="69">
                  <c:v>934.02588262519168</c:v>
                </c:pt>
                <c:pt idx="70">
                  <c:v>939.1287023199568</c:v>
                </c:pt>
                <c:pt idx="71">
                  <c:v>944.33355905028509</c:v>
                </c:pt>
                <c:pt idx="72">
                  <c:v>949.64045281617632</c:v>
                </c:pt>
                <c:pt idx="73">
                  <c:v>955.04938361763061</c:v>
                </c:pt>
                <c:pt idx="74">
                  <c:v>960.56035145464784</c:v>
                </c:pt>
                <c:pt idx="75">
                  <c:v>966.17335632722802</c:v>
                </c:pt>
                <c:pt idx="76">
                  <c:v>971.88839823537126</c:v>
                </c:pt>
                <c:pt idx="77">
                  <c:v>977.70547717907732</c:v>
                </c:pt>
                <c:pt idx="78">
                  <c:v>983.62459315834656</c:v>
                </c:pt>
                <c:pt idx="79">
                  <c:v>989.64574617317862</c:v>
                </c:pt>
                <c:pt idx="80">
                  <c:v>995.76893622357386</c:v>
                </c:pt>
                <c:pt idx="81">
                  <c:v>1001.994163309532</c:v>
                </c:pt>
                <c:pt idx="82">
                  <c:v>1008.3214274310532</c:v>
                </c:pt>
                <c:pt idx="83">
                  <c:v>1014.7507285881373</c:v>
                </c:pt>
                <c:pt idx="84">
                  <c:v>1021.2820667807844</c:v>
                </c:pt>
                <c:pt idx="85">
                  <c:v>1027.9154420089944</c:v>
                </c:pt>
                <c:pt idx="86">
                  <c:v>1034.6508542727677</c:v>
                </c:pt>
                <c:pt idx="87">
                  <c:v>1041.4883035721036</c:v>
                </c:pt>
                <c:pt idx="88">
                  <c:v>1048.4277899070028</c:v>
                </c:pt>
                <c:pt idx="89">
                  <c:v>1055.4693132774648</c:v>
                </c:pt>
                <c:pt idx="90">
                  <c:v>1062.6128736834901</c:v>
                </c:pt>
                <c:pt idx="91">
                  <c:v>1069.8584711250783</c:v>
                </c:pt>
                <c:pt idx="92">
                  <c:v>1077.2061056022292</c:v>
                </c:pt>
                <c:pt idx="93">
                  <c:v>1084.6557771149432</c:v>
                </c:pt>
                <c:pt idx="94">
                  <c:v>1092.2074856632203</c:v>
                </c:pt>
                <c:pt idx="95">
                  <c:v>1099.8612312470602</c:v>
                </c:pt>
                <c:pt idx="96">
                  <c:v>1107.6170138664631</c:v>
                </c:pt>
                <c:pt idx="97">
                  <c:v>1115.4748335214294</c:v>
                </c:pt>
                <c:pt idx="98">
                  <c:v>1123.4346902119582</c:v>
                </c:pt>
                <c:pt idx="99">
                  <c:v>1131.49658393805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-195.12229703436626</c:v>
                </c:pt>
                <c:pt idx="2">
                  <c:v>-186.7971878829938</c:v>
                </c:pt>
                <c:pt idx="3">
                  <c:v>-178.47207873162139</c:v>
                </c:pt>
                <c:pt idx="4">
                  <c:v>-170.14696958024894</c:v>
                </c:pt>
                <c:pt idx="5">
                  <c:v>-161.82186042887651</c:v>
                </c:pt>
                <c:pt idx="6">
                  <c:v>-153.49675127750407</c:v>
                </c:pt>
                <c:pt idx="7">
                  <c:v>-145.17164212613162</c:v>
                </c:pt>
                <c:pt idx="8">
                  <c:v>-136.84653297475919</c:v>
                </c:pt>
                <c:pt idx="9">
                  <c:v>-128.52142382338675</c:v>
                </c:pt>
                <c:pt idx="10">
                  <c:v>-120.19631467201431</c:v>
                </c:pt>
                <c:pt idx="11">
                  <c:v>-111.87120552064188</c:v>
                </c:pt>
                <c:pt idx="12">
                  <c:v>-103.54609636926945</c:v>
                </c:pt>
                <c:pt idx="13">
                  <c:v>-95.220987217897004</c:v>
                </c:pt>
                <c:pt idx="14">
                  <c:v>-86.895878066524574</c:v>
                </c:pt>
                <c:pt idx="15">
                  <c:v>-78.570768915152129</c:v>
                </c:pt>
                <c:pt idx="16">
                  <c:v>-70.245659763779699</c:v>
                </c:pt>
                <c:pt idx="17">
                  <c:v>-61.920550612407268</c:v>
                </c:pt>
                <c:pt idx="18">
                  <c:v>-53.595441461034817</c:v>
                </c:pt>
                <c:pt idx="19">
                  <c:v>-45.270332309662393</c:v>
                </c:pt>
                <c:pt idx="20">
                  <c:v>-36.945223158289942</c:v>
                </c:pt>
                <c:pt idx="21">
                  <c:v>-28.620114006917515</c:v>
                </c:pt>
                <c:pt idx="22">
                  <c:v>-20.295004855545063</c:v>
                </c:pt>
                <c:pt idx="23">
                  <c:v>-11.969895704172639</c:v>
                </c:pt>
                <c:pt idx="24">
                  <c:v>-3.6447865528002148</c:v>
                </c:pt>
                <c:pt idx="25">
                  <c:v>4.6803225985722383</c:v>
                </c:pt>
                <c:pt idx="26">
                  <c:v>13.005431749944663</c:v>
                </c:pt>
                <c:pt idx="27">
                  <c:v>21.330540901317114</c:v>
                </c:pt>
                <c:pt idx="28">
                  <c:v>29.655650052689541</c:v>
                </c:pt>
                <c:pt idx="29">
                  <c:v>37.980759204061989</c:v>
                </c:pt>
                <c:pt idx="30">
                  <c:v>46.30586835543442</c:v>
                </c:pt>
                <c:pt idx="31">
                  <c:v>54.630977506806872</c:v>
                </c:pt>
                <c:pt idx="32">
                  <c:v>62.956086658179295</c:v>
                </c:pt>
                <c:pt idx="33">
                  <c:v>71.281195809551747</c:v>
                </c:pt>
                <c:pt idx="34">
                  <c:v>79.606304960924149</c:v>
                </c:pt>
                <c:pt idx="35">
                  <c:v>87.931414112296594</c:v>
                </c:pt>
                <c:pt idx="36">
                  <c:v>96.256523263669052</c:v>
                </c:pt>
                <c:pt idx="37">
                  <c:v>104.5816324150415</c:v>
                </c:pt>
                <c:pt idx="38">
                  <c:v>112.9067415664139</c:v>
                </c:pt>
                <c:pt idx="39">
                  <c:v>121.23185071778634</c:v>
                </c:pt>
                <c:pt idx="40">
                  <c:v>129.55695986915882</c:v>
                </c:pt>
                <c:pt idx="41">
                  <c:v>137.88206902053119</c:v>
                </c:pt>
                <c:pt idx="42">
                  <c:v>146.20717817190365</c:v>
                </c:pt>
                <c:pt idx="43">
                  <c:v>154.53228732327611</c:v>
                </c:pt>
                <c:pt idx="44">
                  <c:v>162.85739647464857</c:v>
                </c:pt>
                <c:pt idx="45">
                  <c:v>171.18250562602094</c:v>
                </c:pt>
                <c:pt idx="46">
                  <c:v>179.5076147773934</c:v>
                </c:pt>
                <c:pt idx="47">
                  <c:v>187.83272392876586</c:v>
                </c:pt>
                <c:pt idx="48">
                  <c:v>196.15783308013826</c:v>
                </c:pt>
                <c:pt idx="49">
                  <c:v>204.48294223151072</c:v>
                </c:pt>
                <c:pt idx="50">
                  <c:v>212.80805138288315</c:v>
                </c:pt>
                <c:pt idx="51">
                  <c:v>221.13316053425561</c:v>
                </c:pt>
                <c:pt idx="52">
                  <c:v>229.45826968562801</c:v>
                </c:pt>
                <c:pt idx="53">
                  <c:v>237.78337883700047</c:v>
                </c:pt>
                <c:pt idx="54">
                  <c:v>246.10848798837293</c:v>
                </c:pt>
                <c:pt idx="55">
                  <c:v>254.43359713974536</c:v>
                </c:pt>
                <c:pt idx="56">
                  <c:v>262.75870629111779</c:v>
                </c:pt>
                <c:pt idx="57">
                  <c:v>271.08381544249022</c:v>
                </c:pt>
                <c:pt idx="58">
                  <c:v>279.40892459386265</c:v>
                </c:pt>
                <c:pt idx="59">
                  <c:v>287.73403374523508</c:v>
                </c:pt>
                <c:pt idx="60">
                  <c:v>296.05914289660751</c:v>
                </c:pt>
                <c:pt idx="61">
                  <c:v>304.38425204798</c:v>
                </c:pt>
                <c:pt idx="62">
                  <c:v>312.70936119935243</c:v>
                </c:pt>
                <c:pt idx="63">
                  <c:v>321.0344703507248</c:v>
                </c:pt>
                <c:pt idx="64">
                  <c:v>329.35957950209729</c:v>
                </c:pt>
                <c:pt idx="65">
                  <c:v>337.68468865346972</c:v>
                </c:pt>
                <c:pt idx="66">
                  <c:v>346.00979780484215</c:v>
                </c:pt>
                <c:pt idx="67">
                  <c:v>354.33490695621464</c:v>
                </c:pt>
                <c:pt idx="68">
                  <c:v>362.66001610758696</c:v>
                </c:pt>
                <c:pt idx="69">
                  <c:v>370.98512525895944</c:v>
                </c:pt>
                <c:pt idx="70">
                  <c:v>379.31023441033187</c:v>
                </c:pt>
                <c:pt idx="71">
                  <c:v>387.6353435617043</c:v>
                </c:pt>
                <c:pt idx="72">
                  <c:v>395.96045271307679</c:v>
                </c:pt>
                <c:pt idx="73">
                  <c:v>404.28556186444922</c:v>
                </c:pt>
                <c:pt idx="74">
                  <c:v>412.61067101582171</c:v>
                </c:pt>
                <c:pt idx="75">
                  <c:v>420.93578016719403</c:v>
                </c:pt>
                <c:pt idx="76">
                  <c:v>429.26088931856646</c:v>
                </c:pt>
                <c:pt idx="77">
                  <c:v>437.58599846993894</c:v>
                </c:pt>
                <c:pt idx="78">
                  <c:v>445.91110762131137</c:v>
                </c:pt>
                <c:pt idx="79">
                  <c:v>454.23621677268386</c:v>
                </c:pt>
                <c:pt idx="80">
                  <c:v>462.56132592405629</c:v>
                </c:pt>
                <c:pt idx="81">
                  <c:v>470.88643507542872</c:v>
                </c:pt>
                <c:pt idx="82">
                  <c:v>479.2115442268011</c:v>
                </c:pt>
                <c:pt idx="83">
                  <c:v>487.53665337817353</c:v>
                </c:pt>
                <c:pt idx="84">
                  <c:v>495.86176252954601</c:v>
                </c:pt>
                <c:pt idx="85">
                  <c:v>504.18687168091844</c:v>
                </c:pt>
                <c:pt idx="86">
                  <c:v>512.51198083229087</c:v>
                </c:pt>
                <c:pt idx="87">
                  <c:v>520.8370899836633</c:v>
                </c:pt>
                <c:pt idx="88">
                  <c:v>529.16219913503573</c:v>
                </c:pt>
                <c:pt idx="89">
                  <c:v>537.48730828640817</c:v>
                </c:pt>
                <c:pt idx="90">
                  <c:v>545.8124174377806</c:v>
                </c:pt>
                <c:pt idx="91">
                  <c:v>554.13752658915314</c:v>
                </c:pt>
                <c:pt idx="92">
                  <c:v>562.46263574052557</c:v>
                </c:pt>
                <c:pt idx="93">
                  <c:v>570.787744891898</c:v>
                </c:pt>
                <c:pt idx="94">
                  <c:v>579.11285404327043</c:v>
                </c:pt>
                <c:pt idx="95">
                  <c:v>587.43796319464286</c:v>
                </c:pt>
                <c:pt idx="96">
                  <c:v>595.76307234601518</c:v>
                </c:pt>
                <c:pt idx="97">
                  <c:v>604.08818149738761</c:v>
                </c:pt>
                <c:pt idx="98">
                  <c:v>612.41329064876004</c:v>
                </c:pt>
                <c:pt idx="99">
                  <c:v>620.73839980013258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-15.627260216570527</c:v>
                </c:pt>
                <c:pt idx="1">
                  <c:v>-15.627260216570527</c:v>
                </c:pt>
                <c:pt idx="2">
                  <c:v>-15.605979693866573</c:v>
                </c:pt>
                <c:pt idx="3">
                  <c:v>-15.524660010443451</c:v>
                </c:pt>
                <c:pt idx="4">
                  <c:v>-15.382485734547014</c:v>
                </c:pt>
                <c:pt idx="5">
                  <c:v>-15.179456866177258</c:v>
                </c:pt>
                <c:pt idx="6">
                  <c:v>-14.915573405334186</c:v>
                </c:pt>
                <c:pt idx="7">
                  <c:v>-14.590835352017795</c:v>
                </c:pt>
                <c:pt idx="8">
                  <c:v>-14.205242706228086</c:v>
                </c:pt>
                <c:pt idx="9">
                  <c:v>-13.758795467965058</c:v>
                </c:pt>
                <c:pt idx="10">
                  <c:v>-13.251493637228712</c:v>
                </c:pt>
                <c:pt idx="11">
                  <c:v>-12.683337214019049</c:v>
                </c:pt>
                <c:pt idx="12">
                  <c:v>-12.054326198336069</c:v>
                </c:pt>
                <c:pt idx="13">
                  <c:v>-11.364460590179769</c:v>
                </c:pt>
                <c:pt idx="14">
                  <c:v>-10.613740389550152</c:v>
                </c:pt>
                <c:pt idx="15">
                  <c:v>-9.8021655964472174</c:v>
                </c:pt>
                <c:pt idx="16">
                  <c:v>-8.9297362108709635</c:v>
                </c:pt>
                <c:pt idx="17">
                  <c:v>-7.9964522328213956</c:v>
                </c:pt>
                <c:pt idx="18">
                  <c:v>-7.0023136622985049</c:v>
                </c:pt>
                <c:pt idx="19">
                  <c:v>-5.9473204993022994</c:v>
                </c:pt>
                <c:pt idx="20">
                  <c:v>-4.8314727438327729</c:v>
                </c:pt>
                <c:pt idx="21">
                  <c:v>-3.6518304890831059</c:v>
                </c:pt>
                <c:pt idx="22">
                  <c:v>-2.293725104525798</c:v>
                </c:pt>
                <c:pt idx="23">
                  <c:v>-0.69812349174175425</c:v>
                </c:pt>
                <c:pt idx="24">
                  <c:v>1.134974349269029</c:v>
                </c:pt>
                <c:pt idx="25">
                  <c:v>3.2055684185065592</c:v>
                </c:pt>
                <c:pt idx="26">
                  <c:v>5.5136587159708217</c:v>
                </c:pt>
                <c:pt idx="27">
                  <c:v>8.0592452416618343</c:v>
                </c:pt>
                <c:pt idx="28">
                  <c:v>10.842327995579575</c:v>
                </c:pt>
                <c:pt idx="29">
                  <c:v>13.862906977724068</c:v>
                </c:pt>
                <c:pt idx="30">
                  <c:v>17.12098218809529</c:v>
                </c:pt>
                <c:pt idx="31">
                  <c:v>20.616553626693268</c:v>
                </c:pt>
                <c:pt idx="32">
                  <c:v>24.34962129351797</c:v>
                </c:pt>
                <c:pt idx="33">
                  <c:v>28.320185188569425</c:v>
                </c:pt>
                <c:pt idx="34">
                  <c:v>32.528245311847591</c:v>
                </c:pt>
                <c:pt idx="35">
                  <c:v>36.973801663352525</c:v>
                </c:pt>
                <c:pt idx="36">
                  <c:v>41.656854243084204</c:v>
                </c:pt>
                <c:pt idx="37">
                  <c:v>46.577403051042616</c:v>
                </c:pt>
                <c:pt idx="38">
                  <c:v>51.735448087227745</c:v>
                </c:pt>
                <c:pt idx="39">
                  <c:v>57.130989351639649</c:v>
                </c:pt>
                <c:pt idx="40">
                  <c:v>62.764026844278284</c:v>
                </c:pt>
                <c:pt idx="41">
                  <c:v>68.63456056514363</c:v>
                </c:pt>
                <c:pt idx="42">
                  <c:v>74.742590514235758</c:v>
                </c:pt>
                <c:pt idx="43">
                  <c:v>81.088116691554603</c:v>
                </c:pt>
                <c:pt idx="44">
                  <c:v>87.671139097100209</c:v>
                </c:pt>
                <c:pt idx="45">
                  <c:v>94.491657730872504</c:v>
                </c:pt>
                <c:pt idx="46">
                  <c:v>101.54967259287159</c:v>
                </c:pt>
                <c:pt idx="47">
                  <c:v>108.84518368309742</c:v>
                </c:pt>
                <c:pt idx="48">
                  <c:v>116.37819100154994</c:v>
                </c:pt>
                <c:pt idx="49">
                  <c:v>124.14869454822923</c:v>
                </c:pt>
                <c:pt idx="50">
                  <c:v>132.1566943231353</c:v>
                </c:pt>
                <c:pt idx="51">
                  <c:v>140.40219032626808</c:v>
                </c:pt>
                <c:pt idx="52">
                  <c:v>148.88518255762753</c:v>
                </c:pt>
                <c:pt idx="53">
                  <c:v>157.60567101721381</c:v>
                </c:pt>
                <c:pt idx="54">
                  <c:v>166.5636557050268</c:v>
                </c:pt>
                <c:pt idx="55">
                  <c:v>175.75913662106657</c:v>
                </c:pt>
                <c:pt idx="56">
                  <c:v>185.19211376533298</c:v>
                </c:pt>
                <c:pt idx="57">
                  <c:v>194.86258713782624</c:v>
                </c:pt>
                <c:pt idx="58">
                  <c:v>204.77055673854619</c:v>
                </c:pt>
                <c:pt idx="59">
                  <c:v>214.91602256749286</c:v>
                </c:pt>
                <c:pt idx="60">
                  <c:v>225.29898462466628</c:v>
                </c:pt>
                <c:pt idx="61">
                  <c:v>235.91944291006646</c:v>
                </c:pt>
                <c:pt idx="62">
                  <c:v>246.77739742369343</c:v>
                </c:pt>
                <c:pt idx="63">
                  <c:v>257.87284816554705</c:v>
                </c:pt>
                <c:pt idx="64">
                  <c:v>269.20579513562745</c:v>
                </c:pt>
                <c:pt idx="65">
                  <c:v>280.7762383339346</c:v>
                </c:pt>
                <c:pt idx="66">
                  <c:v>292.58417776046855</c:v>
                </c:pt>
                <c:pt idx="67">
                  <c:v>304.62961341522913</c:v>
                </c:pt>
                <c:pt idx="68">
                  <c:v>316.91254529821634</c:v>
                </c:pt>
                <c:pt idx="69">
                  <c:v>329.43297340943047</c:v>
                </c:pt>
                <c:pt idx="70">
                  <c:v>342.19089774887135</c:v>
                </c:pt>
                <c:pt idx="71">
                  <c:v>355.18631831653892</c:v>
                </c:pt>
                <c:pt idx="72">
                  <c:v>368.41923511243323</c:v>
                </c:pt>
                <c:pt idx="73">
                  <c:v>381.88964813655434</c:v>
                </c:pt>
                <c:pt idx="74">
                  <c:v>395.59755738890215</c:v>
                </c:pt>
                <c:pt idx="75">
                  <c:v>409.54296286947658</c:v>
                </c:pt>
                <c:pt idx="76">
                  <c:v>423.72586457827788</c:v>
                </c:pt>
                <c:pt idx="77">
                  <c:v>438.14626251530586</c:v>
                </c:pt>
                <c:pt idx="78">
                  <c:v>452.80415668056065</c:v>
                </c:pt>
                <c:pt idx="79">
                  <c:v>467.69954707404224</c:v>
                </c:pt>
                <c:pt idx="80">
                  <c:v>482.83243369575047</c:v>
                </c:pt>
                <c:pt idx="81">
                  <c:v>498.20281654568544</c:v>
                </c:pt>
                <c:pt idx="82">
                  <c:v>513.8106956238471</c:v>
                </c:pt>
                <c:pt idx="83">
                  <c:v>529.6560709302355</c:v>
                </c:pt>
                <c:pt idx="84">
                  <c:v>545.73894246485065</c:v>
                </c:pt>
                <c:pt idx="85">
                  <c:v>562.05931022769266</c:v>
                </c:pt>
                <c:pt idx="86">
                  <c:v>578.61717421876142</c:v>
                </c:pt>
                <c:pt idx="87">
                  <c:v>595.41253443805681</c:v>
                </c:pt>
                <c:pt idx="88">
                  <c:v>612.44539088557895</c:v>
                </c:pt>
                <c:pt idx="89">
                  <c:v>629.71574356132783</c:v>
                </c:pt>
                <c:pt idx="90">
                  <c:v>647.22359246530357</c:v>
                </c:pt>
                <c:pt idx="91">
                  <c:v>664.96893759750594</c:v>
                </c:pt>
                <c:pt idx="92">
                  <c:v>682.95177895793506</c:v>
                </c:pt>
                <c:pt idx="93">
                  <c:v>701.17211654659104</c:v>
                </c:pt>
                <c:pt idx="94">
                  <c:v>719.62995036347365</c:v>
                </c:pt>
                <c:pt idx="95">
                  <c:v>738.32528040858313</c:v>
                </c:pt>
                <c:pt idx="96">
                  <c:v>757.25810668191866</c:v>
                </c:pt>
                <c:pt idx="97">
                  <c:v>776.4284291834814</c:v>
                </c:pt>
                <c:pt idx="98">
                  <c:v>795.83624791327111</c:v>
                </c:pt>
                <c:pt idx="99">
                  <c:v>815.48156287128768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-195.12229703436626</c:v>
                </c:pt>
                <c:pt idx="2">
                  <c:v>-186.7971878829938</c:v>
                </c:pt>
                <c:pt idx="3">
                  <c:v>-178.47207873162139</c:v>
                </c:pt>
                <c:pt idx="4">
                  <c:v>-170.14696958024894</c:v>
                </c:pt>
                <c:pt idx="5">
                  <c:v>-161.82186042887651</c:v>
                </c:pt>
                <c:pt idx="6">
                  <c:v>-153.49675127750407</c:v>
                </c:pt>
                <c:pt idx="7">
                  <c:v>-145.17164212613162</c:v>
                </c:pt>
                <c:pt idx="8">
                  <c:v>-136.84653297475919</c:v>
                </c:pt>
                <c:pt idx="9">
                  <c:v>-128.52142382338675</c:v>
                </c:pt>
                <c:pt idx="10">
                  <c:v>-120.19631467201431</c:v>
                </c:pt>
                <c:pt idx="11">
                  <c:v>-111.87120552064188</c:v>
                </c:pt>
                <c:pt idx="12">
                  <c:v>-103.54609636926945</c:v>
                </c:pt>
                <c:pt idx="13">
                  <c:v>-95.220987217897004</c:v>
                </c:pt>
                <c:pt idx="14">
                  <c:v>-86.895878066524574</c:v>
                </c:pt>
                <c:pt idx="15">
                  <c:v>-78.570768915152129</c:v>
                </c:pt>
                <c:pt idx="16">
                  <c:v>-70.245659763779699</c:v>
                </c:pt>
                <c:pt idx="17">
                  <c:v>-61.920550612407268</c:v>
                </c:pt>
                <c:pt idx="18">
                  <c:v>-53.595441461034817</c:v>
                </c:pt>
                <c:pt idx="19">
                  <c:v>-45.270332309662393</c:v>
                </c:pt>
                <c:pt idx="20">
                  <c:v>-36.945223158289942</c:v>
                </c:pt>
                <c:pt idx="21">
                  <c:v>-28.620114006917515</c:v>
                </c:pt>
                <c:pt idx="22">
                  <c:v>-20.295004855545063</c:v>
                </c:pt>
                <c:pt idx="23">
                  <c:v>-11.969895704172639</c:v>
                </c:pt>
                <c:pt idx="24">
                  <c:v>-3.6447865528002148</c:v>
                </c:pt>
                <c:pt idx="25">
                  <c:v>4.6803225985722383</c:v>
                </c:pt>
                <c:pt idx="26">
                  <c:v>13.005431749944663</c:v>
                </c:pt>
                <c:pt idx="27">
                  <c:v>21.330540901317114</c:v>
                </c:pt>
                <c:pt idx="28">
                  <c:v>29.655650052689541</c:v>
                </c:pt>
                <c:pt idx="29">
                  <c:v>37.980759204061989</c:v>
                </c:pt>
                <c:pt idx="30">
                  <c:v>46.30586835543442</c:v>
                </c:pt>
                <c:pt idx="31">
                  <c:v>54.630977506806872</c:v>
                </c:pt>
                <c:pt idx="32">
                  <c:v>62.956086658179295</c:v>
                </c:pt>
                <c:pt idx="33">
                  <c:v>71.281195809551747</c:v>
                </c:pt>
                <c:pt idx="34">
                  <c:v>79.606304960924149</c:v>
                </c:pt>
                <c:pt idx="35">
                  <c:v>87.931414112296594</c:v>
                </c:pt>
                <c:pt idx="36">
                  <c:v>96.256523263669052</c:v>
                </c:pt>
                <c:pt idx="37">
                  <c:v>104.5816324150415</c:v>
                </c:pt>
                <c:pt idx="38">
                  <c:v>112.9067415664139</c:v>
                </c:pt>
                <c:pt idx="39">
                  <c:v>121.23185071778634</c:v>
                </c:pt>
                <c:pt idx="40">
                  <c:v>129.55695986915882</c:v>
                </c:pt>
                <c:pt idx="41">
                  <c:v>137.88206902053119</c:v>
                </c:pt>
                <c:pt idx="42">
                  <c:v>146.20717817190365</c:v>
                </c:pt>
                <c:pt idx="43">
                  <c:v>154.53228732327611</c:v>
                </c:pt>
                <c:pt idx="44">
                  <c:v>162.85739647464857</c:v>
                </c:pt>
                <c:pt idx="45">
                  <c:v>171.18250562602094</c:v>
                </c:pt>
                <c:pt idx="46">
                  <c:v>179.5076147773934</c:v>
                </c:pt>
                <c:pt idx="47">
                  <c:v>187.83272392876586</c:v>
                </c:pt>
                <c:pt idx="48">
                  <c:v>196.15783308013826</c:v>
                </c:pt>
                <c:pt idx="49">
                  <c:v>204.48294223151072</c:v>
                </c:pt>
                <c:pt idx="50">
                  <c:v>212.80805138288315</c:v>
                </c:pt>
                <c:pt idx="51">
                  <c:v>221.13316053425561</c:v>
                </c:pt>
                <c:pt idx="52">
                  <c:v>229.45826968562801</c:v>
                </c:pt>
                <c:pt idx="53">
                  <c:v>237.78337883700047</c:v>
                </c:pt>
                <c:pt idx="54">
                  <c:v>246.10848798837293</c:v>
                </c:pt>
                <c:pt idx="55">
                  <c:v>254.43359713974536</c:v>
                </c:pt>
                <c:pt idx="56">
                  <c:v>262.75870629111779</c:v>
                </c:pt>
                <c:pt idx="57">
                  <c:v>271.08381544249022</c:v>
                </c:pt>
                <c:pt idx="58">
                  <c:v>279.40892459386265</c:v>
                </c:pt>
                <c:pt idx="59">
                  <c:v>287.73403374523508</c:v>
                </c:pt>
                <c:pt idx="60">
                  <c:v>296.05914289660751</c:v>
                </c:pt>
                <c:pt idx="61">
                  <c:v>304.38425204798</c:v>
                </c:pt>
                <c:pt idx="62">
                  <c:v>312.70936119935243</c:v>
                </c:pt>
                <c:pt idx="63">
                  <c:v>321.0344703507248</c:v>
                </c:pt>
                <c:pt idx="64">
                  <c:v>329.35957950209729</c:v>
                </c:pt>
                <c:pt idx="65">
                  <c:v>337.68468865346972</c:v>
                </c:pt>
                <c:pt idx="66">
                  <c:v>346.00979780484215</c:v>
                </c:pt>
                <c:pt idx="67">
                  <c:v>354.33490695621464</c:v>
                </c:pt>
                <c:pt idx="68">
                  <c:v>362.66001610758696</c:v>
                </c:pt>
                <c:pt idx="69">
                  <c:v>370.98512525895944</c:v>
                </c:pt>
                <c:pt idx="70">
                  <c:v>379.31023441033187</c:v>
                </c:pt>
                <c:pt idx="71">
                  <c:v>387.6353435617043</c:v>
                </c:pt>
                <c:pt idx="72">
                  <c:v>395.96045271307679</c:v>
                </c:pt>
                <c:pt idx="73">
                  <c:v>404.28556186444922</c:v>
                </c:pt>
                <c:pt idx="74">
                  <c:v>412.61067101582171</c:v>
                </c:pt>
                <c:pt idx="75">
                  <c:v>420.93578016719403</c:v>
                </c:pt>
                <c:pt idx="76">
                  <c:v>429.26088931856646</c:v>
                </c:pt>
                <c:pt idx="77">
                  <c:v>437.58599846993894</c:v>
                </c:pt>
                <c:pt idx="78">
                  <c:v>445.91110762131137</c:v>
                </c:pt>
                <c:pt idx="79">
                  <c:v>454.23621677268386</c:v>
                </c:pt>
                <c:pt idx="80">
                  <c:v>462.56132592405629</c:v>
                </c:pt>
                <c:pt idx="81">
                  <c:v>470.88643507542872</c:v>
                </c:pt>
                <c:pt idx="82">
                  <c:v>479.2115442268011</c:v>
                </c:pt>
                <c:pt idx="83">
                  <c:v>487.53665337817353</c:v>
                </c:pt>
                <c:pt idx="84">
                  <c:v>495.86176252954601</c:v>
                </c:pt>
                <c:pt idx="85">
                  <c:v>504.18687168091844</c:v>
                </c:pt>
                <c:pt idx="86">
                  <c:v>512.51198083229087</c:v>
                </c:pt>
                <c:pt idx="87">
                  <c:v>520.8370899836633</c:v>
                </c:pt>
                <c:pt idx="88">
                  <c:v>529.16219913503573</c:v>
                </c:pt>
                <c:pt idx="89">
                  <c:v>537.48730828640817</c:v>
                </c:pt>
                <c:pt idx="90">
                  <c:v>545.8124174377806</c:v>
                </c:pt>
                <c:pt idx="91">
                  <c:v>554.13752658915314</c:v>
                </c:pt>
                <c:pt idx="92">
                  <c:v>562.46263574052557</c:v>
                </c:pt>
                <c:pt idx="93">
                  <c:v>570.787744891898</c:v>
                </c:pt>
                <c:pt idx="94">
                  <c:v>579.11285404327043</c:v>
                </c:pt>
                <c:pt idx="95">
                  <c:v>587.43796319464286</c:v>
                </c:pt>
                <c:pt idx="96">
                  <c:v>595.76307234601518</c:v>
                </c:pt>
                <c:pt idx="97">
                  <c:v>604.08818149738761</c:v>
                </c:pt>
                <c:pt idx="98">
                  <c:v>612.41329064876004</c:v>
                </c:pt>
                <c:pt idx="99">
                  <c:v>620.73839980013258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808.45742952984267</c:v>
                </c:pt>
                <c:pt idx="1">
                  <c:v>808.45742952984267</c:v>
                </c:pt>
                <c:pt idx="2">
                  <c:v>808.45841191065472</c:v>
                </c:pt>
                <c:pt idx="3">
                  <c:v>808.46216590193319</c:v>
                </c:pt>
                <c:pt idx="4">
                  <c:v>808.4687291467626</c:v>
                </c:pt>
                <c:pt idx="5">
                  <c:v>808.4781016451426</c:v>
                </c:pt>
                <c:pt idx="6">
                  <c:v>808.49028339707365</c:v>
                </c:pt>
                <c:pt idx="7">
                  <c:v>808.5052744025553</c:v>
                </c:pt>
                <c:pt idx="8">
                  <c:v>808.52307466158777</c:v>
                </c:pt>
                <c:pt idx="9">
                  <c:v>808.54368417417095</c:v>
                </c:pt>
                <c:pt idx="10">
                  <c:v>808.56710294030506</c:v>
                </c:pt>
                <c:pt idx="11">
                  <c:v>808.59333095998977</c:v>
                </c:pt>
                <c:pt idx="12">
                  <c:v>808.6223682332253</c:v>
                </c:pt>
                <c:pt idx="13">
                  <c:v>808.65421476001177</c:v>
                </c:pt>
                <c:pt idx="14">
                  <c:v>808.68887054034883</c:v>
                </c:pt>
                <c:pt idx="15">
                  <c:v>808.72633557423683</c:v>
                </c:pt>
                <c:pt idx="16">
                  <c:v>808.76660986167542</c:v>
                </c:pt>
                <c:pt idx="17">
                  <c:v>808.80969340266495</c:v>
                </c:pt>
                <c:pt idx="18">
                  <c:v>808.85558619720518</c:v>
                </c:pt>
                <c:pt idx="19">
                  <c:v>808.90428824529624</c:v>
                </c:pt>
                <c:pt idx="20">
                  <c:v>808.95579954693801</c:v>
                </c:pt>
                <c:pt idx="21">
                  <c:v>809.01180627410338</c:v>
                </c:pt>
                <c:pt idx="22">
                  <c:v>809.13807616830854</c:v>
                </c:pt>
                <c:pt idx="23">
                  <c:v>809.368467430701</c:v>
                </c:pt>
                <c:pt idx="24">
                  <c:v>809.70298006128087</c:v>
                </c:pt>
                <c:pt idx="25">
                  <c:v>810.14161406004814</c:v>
                </c:pt>
                <c:pt idx="26">
                  <c:v>810.68436942700271</c:v>
                </c:pt>
                <c:pt idx="27">
                  <c:v>811.33124616214479</c:v>
                </c:pt>
                <c:pt idx="28">
                  <c:v>812.08224426547429</c:v>
                </c:pt>
                <c:pt idx="29">
                  <c:v>812.93736373699107</c:v>
                </c:pt>
                <c:pt idx="30">
                  <c:v>813.89660457669538</c:v>
                </c:pt>
                <c:pt idx="31">
                  <c:v>814.95996678458687</c:v>
                </c:pt>
                <c:pt idx="32">
                  <c:v>816.12745036066588</c:v>
                </c:pt>
                <c:pt idx="33">
                  <c:v>817.39905530493229</c:v>
                </c:pt>
                <c:pt idx="34">
                  <c:v>818.774781617386</c:v>
                </c:pt>
                <c:pt idx="35">
                  <c:v>820.25462929802711</c:v>
                </c:pt>
                <c:pt idx="36">
                  <c:v>821.83859834685575</c:v>
                </c:pt>
                <c:pt idx="37">
                  <c:v>823.52668876387168</c:v>
                </c:pt>
                <c:pt idx="38">
                  <c:v>825.31890054907501</c:v>
                </c:pt>
                <c:pt idx="39">
                  <c:v>827.21523370246564</c:v>
                </c:pt>
                <c:pt idx="40">
                  <c:v>829.21568822404367</c:v>
                </c:pt>
                <c:pt idx="41">
                  <c:v>831.32026411380923</c:v>
                </c:pt>
                <c:pt idx="42">
                  <c:v>833.52896137176208</c:v>
                </c:pt>
                <c:pt idx="43">
                  <c:v>835.84177999790234</c:v>
                </c:pt>
                <c:pt idx="44">
                  <c:v>838.25871999223</c:v>
                </c:pt>
                <c:pt idx="45">
                  <c:v>840.77978135474496</c:v>
                </c:pt>
                <c:pt idx="46">
                  <c:v>843.40496408544732</c:v>
                </c:pt>
                <c:pt idx="47">
                  <c:v>846.1342681843372</c:v>
                </c:pt>
                <c:pt idx="48">
                  <c:v>848.96769365141438</c:v>
                </c:pt>
                <c:pt idx="49">
                  <c:v>851.90524048667885</c:v>
                </c:pt>
                <c:pt idx="50">
                  <c:v>854.94690869013084</c:v>
                </c:pt>
                <c:pt idx="51">
                  <c:v>858.09269826177024</c:v>
                </c:pt>
                <c:pt idx="52">
                  <c:v>861.34260920159693</c:v>
                </c:pt>
                <c:pt idx="53">
                  <c:v>864.69664150961103</c:v>
                </c:pt>
                <c:pt idx="54">
                  <c:v>868.15479518581253</c:v>
                </c:pt>
                <c:pt idx="55">
                  <c:v>871.71707023020144</c:v>
                </c:pt>
                <c:pt idx="56">
                  <c:v>875.38346664277765</c:v>
                </c:pt>
                <c:pt idx="57">
                  <c:v>879.15398442354137</c:v>
                </c:pt>
                <c:pt idx="58">
                  <c:v>883.02862357249239</c:v>
                </c:pt>
                <c:pt idx="59">
                  <c:v>887.00738408963082</c:v>
                </c:pt>
                <c:pt idx="60">
                  <c:v>891.09026597495665</c:v>
                </c:pt>
                <c:pt idx="61">
                  <c:v>895.27726922846989</c:v>
                </c:pt>
                <c:pt idx="62">
                  <c:v>899.56839385017054</c:v>
                </c:pt>
                <c:pt idx="63">
                  <c:v>903.96363984005848</c:v>
                </c:pt>
                <c:pt idx="64">
                  <c:v>908.46300719813382</c:v>
                </c:pt>
                <c:pt idx="65">
                  <c:v>913.06649592439669</c:v>
                </c:pt>
                <c:pt idx="66">
                  <c:v>917.77410601884685</c:v>
                </c:pt>
                <c:pt idx="67">
                  <c:v>922.58583748148442</c:v>
                </c:pt>
                <c:pt idx="68">
                  <c:v>927.50169031230917</c:v>
                </c:pt>
                <c:pt idx="69">
                  <c:v>932.52166451132155</c:v>
                </c:pt>
                <c:pt idx="70">
                  <c:v>937.64576007852122</c:v>
                </c:pt>
                <c:pt idx="71">
                  <c:v>942.8739770139083</c:v>
                </c:pt>
                <c:pt idx="72">
                  <c:v>948.20631531748279</c:v>
                </c:pt>
                <c:pt idx="73">
                  <c:v>953.6427749892448</c:v>
                </c:pt>
                <c:pt idx="74">
                  <c:v>959.18335602919399</c:v>
                </c:pt>
                <c:pt idx="75">
                  <c:v>964.82805843733058</c:v>
                </c:pt>
                <c:pt idx="76">
                  <c:v>970.57688221365459</c:v>
                </c:pt>
                <c:pt idx="77">
                  <c:v>976.42982735816599</c:v>
                </c:pt>
                <c:pt idx="78">
                  <c:v>982.38689387086481</c:v>
                </c:pt>
                <c:pt idx="79">
                  <c:v>988.44808175175103</c:v>
                </c:pt>
                <c:pt idx="80">
                  <c:v>994.61339100082455</c:v>
                </c:pt>
                <c:pt idx="81">
                  <c:v>1000.8828216180855</c:v>
                </c:pt>
                <c:pt idx="82">
                  <c:v>1007.2563736035337</c:v>
                </c:pt>
                <c:pt idx="83">
                  <c:v>1013.7340469571695</c:v>
                </c:pt>
                <c:pt idx="84">
                  <c:v>1020.3158416789926</c:v>
                </c:pt>
                <c:pt idx="85">
                  <c:v>1027.0017577690032</c:v>
                </c:pt>
                <c:pt idx="86">
                  <c:v>1033.791795227201</c:v>
                </c:pt>
                <c:pt idx="87">
                  <c:v>1040.6859540535863</c:v>
                </c:pt>
                <c:pt idx="88">
                  <c:v>1047.6842342481591</c:v>
                </c:pt>
                <c:pt idx="89">
                  <c:v>1054.7866358109191</c:v>
                </c:pt>
                <c:pt idx="90">
                  <c:v>1061.9931587418664</c:v>
                </c:pt>
                <c:pt idx="91">
                  <c:v>1069.3038030410014</c:v>
                </c:pt>
                <c:pt idx="92">
                  <c:v>1076.7185687083236</c:v>
                </c:pt>
                <c:pt idx="93">
                  <c:v>1084.2374557438332</c:v>
                </c:pt>
                <c:pt idx="94">
                  <c:v>1091.8604641475304</c:v>
                </c:pt>
                <c:pt idx="95">
                  <c:v>1099.5875939194145</c:v>
                </c:pt>
                <c:pt idx="96">
                  <c:v>1107.4188450594861</c:v>
                </c:pt>
                <c:pt idx="97">
                  <c:v>1115.3542175677453</c:v>
                </c:pt>
                <c:pt idx="98">
                  <c:v>1123.3937114441919</c:v>
                </c:pt>
                <c:pt idx="99">
                  <c:v>1131.5373266888259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-178.05294156493864</c:v>
                </c:pt>
                <c:pt idx="2">
                  <c:v>-169.87006171527969</c:v>
                </c:pt>
                <c:pt idx="3">
                  <c:v>-161.68718186562069</c:v>
                </c:pt>
                <c:pt idx="4">
                  <c:v>-153.50430201596174</c:v>
                </c:pt>
                <c:pt idx="5">
                  <c:v>-145.32142216630274</c:v>
                </c:pt>
                <c:pt idx="6">
                  <c:v>-137.13854231664376</c:v>
                </c:pt>
                <c:pt idx="7">
                  <c:v>-128.95566246698479</c:v>
                </c:pt>
                <c:pt idx="8">
                  <c:v>-120.77278261732582</c:v>
                </c:pt>
                <c:pt idx="9">
                  <c:v>-112.58990276766684</c:v>
                </c:pt>
                <c:pt idx="10">
                  <c:v>-104.40702291800787</c:v>
                </c:pt>
                <c:pt idx="11">
                  <c:v>-96.224143068348909</c:v>
                </c:pt>
                <c:pt idx="12">
                  <c:v>-88.04126321868992</c:v>
                </c:pt>
                <c:pt idx="13">
                  <c:v>-79.858383369030946</c:v>
                </c:pt>
                <c:pt idx="14">
                  <c:v>-71.675503519371972</c:v>
                </c:pt>
                <c:pt idx="15">
                  <c:v>-63.492623669712991</c:v>
                </c:pt>
                <c:pt idx="16">
                  <c:v>-55.309743820054017</c:v>
                </c:pt>
                <c:pt idx="17">
                  <c:v>-47.126863970395036</c:v>
                </c:pt>
                <c:pt idx="18">
                  <c:v>-38.943984120736076</c:v>
                </c:pt>
                <c:pt idx="19">
                  <c:v>-30.761104271077084</c:v>
                </c:pt>
                <c:pt idx="20">
                  <c:v>-22.578224421418128</c:v>
                </c:pt>
                <c:pt idx="21">
                  <c:v>-14.395344571759139</c:v>
                </c:pt>
                <c:pt idx="22">
                  <c:v>-6.2124647221001794</c:v>
                </c:pt>
                <c:pt idx="23">
                  <c:v>1.9704151275588082</c:v>
                </c:pt>
                <c:pt idx="24">
                  <c:v>10.153294977217795</c:v>
                </c:pt>
                <c:pt idx="25">
                  <c:v>18.336174826876753</c:v>
                </c:pt>
                <c:pt idx="26">
                  <c:v>26.519054676535742</c:v>
                </c:pt>
                <c:pt idx="27">
                  <c:v>34.701934526194705</c:v>
                </c:pt>
                <c:pt idx="28">
                  <c:v>42.884814375853686</c:v>
                </c:pt>
                <c:pt idx="29">
                  <c:v>51.067694225512646</c:v>
                </c:pt>
                <c:pt idx="30">
                  <c:v>59.250574075171635</c:v>
                </c:pt>
                <c:pt idx="31">
                  <c:v>67.433453924830602</c:v>
                </c:pt>
                <c:pt idx="32">
                  <c:v>75.61633377448959</c:v>
                </c:pt>
                <c:pt idx="33">
                  <c:v>83.799213624148578</c:v>
                </c:pt>
                <c:pt idx="34">
                  <c:v>91.982093473807566</c:v>
                </c:pt>
                <c:pt idx="35">
                  <c:v>100.16497332346648</c:v>
                </c:pt>
                <c:pt idx="36">
                  <c:v>108.34785317312547</c:v>
                </c:pt>
                <c:pt idx="37">
                  <c:v>116.53073302278446</c:v>
                </c:pt>
                <c:pt idx="38">
                  <c:v>124.71361287244345</c:v>
                </c:pt>
                <c:pt idx="39">
                  <c:v>132.89649272210238</c:v>
                </c:pt>
                <c:pt idx="40">
                  <c:v>141.07937257176138</c:v>
                </c:pt>
                <c:pt idx="41">
                  <c:v>149.26225242142036</c:v>
                </c:pt>
                <c:pt idx="42">
                  <c:v>157.44513227107936</c:v>
                </c:pt>
                <c:pt idx="43">
                  <c:v>165.62801212073833</c:v>
                </c:pt>
                <c:pt idx="44">
                  <c:v>173.81089197039725</c:v>
                </c:pt>
                <c:pt idx="45">
                  <c:v>181.99377182005625</c:v>
                </c:pt>
                <c:pt idx="46">
                  <c:v>190.17665166971523</c:v>
                </c:pt>
                <c:pt idx="47">
                  <c:v>198.35953151937423</c:v>
                </c:pt>
                <c:pt idx="48">
                  <c:v>206.5424113690332</c:v>
                </c:pt>
                <c:pt idx="49">
                  <c:v>214.72529121869215</c:v>
                </c:pt>
                <c:pt idx="50">
                  <c:v>222.90817106835112</c:v>
                </c:pt>
                <c:pt idx="51">
                  <c:v>231.09105091801013</c:v>
                </c:pt>
                <c:pt idx="52">
                  <c:v>239.2739307676691</c:v>
                </c:pt>
                <c:pt idx="53">
                  <c:v>247.45681061732805</c:v>
                </c:pt>
                <c:pt idx="54">
                  <c:v>255.63969046698702</c:v>
                </c:pt>
                <c:pt idx="55">
                  <c:v>263.82257031664602</c:v>
                </c:pt>
                <c:pt idx="56">
                  <c:v>272.00545016630502</c:v>
                </c:pt>
                <c:pt idx="57">
                  <c:v>280.18833001596397</c:v>
                </c:pt>
                <c:pt idx="58">
                  <c:v>288.37120986562292</c:v>
                </c:pt>
                <c:pt idx="59">
                  <c:v>296.55408971528192</c:v>
                </c:pt>
                <c:pt idx="60">
                  <c:v>304.73696956494092</c:v>
                </c:pt>
                <c:pt idx="61">
                  <c:v>312.91984941459987</c:v>
                </c:pt>
                <c:pt idx="62">
                  <c:v>321.10272926425881</c:v>
                </c:pt>
                <c:pt idx="63">
                  <c:v>329.28560911391781</c:v>
                </c:pt>
                <c:pt idx="64">
                  <c:v>337.46848896357682</c:v>
                </c:pt>
                <c:pt idx="65">
                  <c:v>345.65136881323571</c:v>
                </c:pt>
                <c:pt idx="66">
                  <c:v>353.83424866289477</c:v>
                </c:pt>
                <c:pt idx="67">
                  <c:v>362.01712851255371</c:v>
                </c:pt>
                <c:pt idx="68">
                  <c:v>370.20000836221277</c:v>
                </c:pt>
                <c:pt idx="69">
                  <c:v>378.38288821187166</c:v>
                </c:pt>
                <c:pt idx="70">
                  <c:v>386.5657680615306</c:v>
                </c:pt>
                <c:pt idx="71">
                  <c:v>394.74864791118966</c:v>
                </c:pt>
                <c:pt idx="72">
                  <c:v>402.93152776084855</c:v>
                </c:pt>
                <c:pt idx="73">
                  <c:v>411.11440761050761</c:v>
                </c:pt>
                <c:pt idx="74">
                  <c:v>419.29728746016656</c:v>
                </c:pt>
                <c:pt idx="75">
                  <c:v>427.4801673098255</c:v>
                </c:pt>
                <c:pt idx="76">
                  <c:v>435.66304715948451</c:v>
                </c:pt>
                <c:pt idx="77">
                  <c:v>443.84592700914345</c:v>
                </c:pt>
                <c:pt idx="78">
                  <c:v>452.0288068588024</c:v>
                </c:pt>
                <c:pt idx="79">
                  <c:v>460.21168670846146</c:v>
                </c:pt>
                <c:pt idx="80">
                  <c:v>468.39456655812035</c:v>
                </c:pt>
                <c:pt idx="81">
                  <c:v>476.57744640777941</c:v>
                </c:pt>
                <c:pt idx="82">
                  <c:v>484.76032625743835</c:v>
                </c:pt>
                <c:pt idx="83">
                  <c:v>492.9432061070973</c:v>
                </c:pt>
                <c:pt idx="84">
                  <c:v>501.1260859567563</c:v>
                </c:pt>
                <c:pt idx="85">
                  <c:v>509.30896580641524</c:v>
                </c:pt>
                <c:pt idx="86">
                  <c:v>517.49184565607425</c:v>
                </c:pt>
                <c:pt idx="87">
                  <c:v>525.67472550573314</c:v>
                </c:pt>
                <c:pt idx="88">
                  <c:v>533.85760535539225</c:v>
                </c:pt>
                <c:pt idx="89">
                  <c:v>542.04048520505125</c:v>
                </c:pt>
                <c:pt idx="90">
                  <c:v>550.22336505471003</c:v>
                </c:pt>
                <c:pt idx="91">
                  <c:v>558.40624490436915</c:v>
                </c:pt>
                <c:pt idx="92">
                  <c:v>566.58912475402815</c:v>
                </c:pt>
                <c:pt idx="93">
                  <c:v>574.77200460368692</c:v>
                </c:pt>
                <c:pt idx="94">
                  <c:v>582.95488445334604</c:v>
                </c:pt>
                <c:pt idx="95">
                  <c:v>591.13776430300504</c:v>
                </c:pt>
                <c:pt idx="96">
                  <c:v>599.32064415266416</c:v>
                </c:pt>
                <c:pt idx="97">
                  <c:v>607.50352400232293</c:v>
                </c:pt>
                <c:pt idx="98">
                  <c:v>615.68640385198194</c:v>
                </c:pt>
                <c:pt idx="99">
                  <c:v>623.86928370164105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-13.901953063015332</c:v>
                </c:pt>
                <c:pt idx="1">
                  <c:v>-13.901953063015332</c:v>
                </c:pt>
                <c:pt idx="2">
                  <c:v>-13.876194098577443</c:v>
                </c:pt>
                <c:pt idx="3">
                  <c:v>-13.789281212987529</c:v>
                </c:pt>
                <c:pt idx="4">
                  <c:v>-13.640999071529128</c:v>
                </c:pt>
                <c:pt idx="5">
                  <c:v>-13.431347674202238</c:v>
                </c:pt>
                <c:pt idx="6">
                  <c:v>-13.160327021006857</c:v>
                </c:pt>
                <c:pt idx="7">
                  <c:v>-12.82793711194299</c:v>
                </c:pt>
                <c:pt idx="8">
                  <c:v>-12.434177947010634</c:v>
                </c:pt>
                <c:pt idx="9">
                  <c:v>-11.979049526209788</c:v>
                </c:pt>
                <c:pt idx="10">
                  <c:v>-11.462551849540452</c:v>
                </c:pt>
                <c:pt idx="11">
                  <c:v>-10.884684917002627</c:v>
                </c:pt>
                <c:pt idx="12">
                  <c:v>-10.245448728596312</c:v>
                </c:pt>
                <c:pt idx="13">
                  <c:v>-9.5448432843215105</c:v>
                </c:pt>
                <c:pt idx="14">
                  <c:v>-8.7828685841782193</c:v>
                </c:pt>
                <c:pt idx="15">
                  <c:v>-7.9595246281664389</c:v>
                </c:pt>
                <c:pt idx="16">
                  <c:v>-7.0748114162861695</c:v>
                </c:pt>
                <c:pt idx="17">
                  <c:v>-6.1287289485374092</c:v>
                </c:pt>
                <c:pt idx="18">
                  <c:v>-5.1212772249201644</c:v>
                </c:pt>
                <c:pt idx="19">
                  <c:v>-4.052456245434426</c:v>
                </c:pt>
                <c:pt idx="20">
                  <c:v>-2.8503710702063527</c:v>
                </c:pt>
                <c:pt idx="21">
                  <c:v>-1.418977823324638</c:v>
                </c:pt>
                <c:pt idx="22">
                  <c:v>0.24221022956025262</c:v>
                </c:pt>
                <c:pt idx="23">
                  <c:v>2.1331930884483303</c:v>
                </c:pt>
                <c:pt idx="24">
                  <c:v>4.2539707533395905</c:v>
                </c:pt>
                <c:pt idx="25">
                  <c:v>6.604543224234023</c:v>
                </c:pt>
                <c:pt idx="26">
                  <c:v>9.184910501131645</c:v>
                </c:pt>
                <c:pt idx="27">
                  <c:v>11.995072584032439</c:v>
                </c:pt>
                <c:pt idx="28">
                  <c:v>15.035029472936426</c:v>
                </c:pt>
                <c:pt idx="29">
                  <c:v>18.304781167843583</c:v>
                </c:pt>
                <c:pt idx="30">
                  <c:v>21.804327668753928</c:v>
                </c:pt>
                <c:pt idx="31">
                  <c:v>25.533668975667446</c:v>
                </c:pt>
                <c:pt idx="32">
                  <c:v>29.492805088584156</c:v>
                </c:pt>
                <c:pt idx="33">
                  <c:v>33.681736007504043</c:v>
                </c:pt>
                <c:pt idx="34">
                  <c:v>38.100461732427121</c:v>
                </c:pt>
                <c:pt idx="35">
                  <c:v>42.748982263353348</c:v>
                </c:pt>
                <c:pt idx="36">
                  <c:v>47.62729760028278</c:v>
                </c:pt>
                <c:pt idx="37">
                  <c:v>52.735407743215397</c:v>
                </c:pt>
                <c:pt idx="38">
                  <c:v>58.073312692151205</c:v>
                </c:pt>
                <c:pt idx="39">
                  <c:v>63.641012447090141</c:v>
                </c:pt>
                <c:pt idx="40">
                  <c:v>69.438507008032303</c:v>
                </c:pt>
                <c:pt idx="41">
                  <c:v>75.465796374977643</c:v>
                </c:pt>
                <c:pt idx="42">
                  <c:v>81.722880547926181</c:v>
                </c:pt>
                <c:pt idx="43">
                  <c:v>88.209759526877889</c:v>
                </c:pt>
                <c:pt idx="44">
                  <c:v>94.926433311832724</c:v>
                </c:pt>
                <c:pt idx="45">
                  <c:v>101.8729019027908</c:v>
                </c:pt>
                <c:pt idx="46">
                  <c:v>109.04916529975206</c:v>
                </c:pt>
                <c:pt idx="47">
                  <c:v>116.45522350271648</c:v>
                </c:pt>
                <c:pt idx="48">
                  <c:v>124.09107651168409</c:v>
                </c:pt>
                <c:pt idx="49">
                  <c:v>131.95672432665486</c:v>
                </c:pt>
                <c:pt idx="50">
                  <c:v>140.05216694762885</c:v>
                </c:pt>
                <c:pt idx="51">
                  <c:v>148.37740437460599</c:v>
                </c:pt>
                <c:pt idx="52">
                  <c:v>156.93243660758631</c:v>
                </c:pt>
                <c:pt idx="53">
                  <c:v>165.71726364656979</c:v>
                </c:pt>
                <c:pt idx="54">
                  <c:v>174.73188549155648</c:v>
                </c:pt>
                <c:pt idx="55">
                  <c:v>183.97630214254639</c:v>
                </c:pt>
                <c:pt idx="56">
                  <c:v>193.45051359953942</c:v>
                </c:pt>
                <c:pt idx="57">
                  <c:v>203.15451986253569</c:v>
                </c:pt>
                <c:pt idx="58">
                  <c:v>213.08832093153504</c:v>
                </c:pt>
                <c:pt idx="59">
                  <c:v>223.25191680653768</c:v>
                </c:pt>
                <c:pt idx="60">
                  <c:v>233.64530748754345</c:v>
                </c:pt>
                <c:pt idx="61">
                  <c:v>244.26849297455243</c:v>
                </c:pt>
                <c:pt idx="62">
                  <c:v>255.12147326756451</c:v>
                </c:pt>
                <c:pt idx="63">
                  <c:v>266.2042483665798</c:v>
                </c:pt>
                <c:pt idx="64">
                  <c:v>277.51681827159837</c:v>
                </c:pt>
                <c:pt idx="65">
                  <c:v>289.05918298261997</c:v>
                </c:pt>
                <c:pt idx="66">
                  <c:v>300.83134249964496</c:v>
                </c:pt>
                <c:pt idx="67">
                  <c:v>312.83329682267288</c:v>
                </c:pt>
                <c:pt idx="68">
                  <c:v>325.06504595170423</c:v>
                </c:pt>
                <c:pt idx="69">
                  <c:v>337.52658988673858</c:v>
                </c:pt>
                <c:pt idx="70">
                  <c:v>350.21792862777608</c:v>
                </c:pt>
                <c:pt idx="71">
                  <c:v>363.13906217481696</c:v>
                </c:pt>
                <c:pt idx="72">
                  <c:v>376.28999052786088</c:v>
                </c:pt>
                <c:pt idx="73">
                  <c:v>389.67071368690807</c:v>
                </c:pt>
                <c:pt idx="74">
                  <c:v>403.28123165195831</c:v>
                </c:pt>
                <c:pt idx="75">
                  <c:v>417.12154442301176</c:v>
                </c:pt>
                <c:pt idx="76">
                  <c:v>431.19165200006853</c:v>
                </c:pt>
                <c:pt idx="77">
                  <c:v>445.49155438312835</c:v>
                </c:pt>
                <c:pt idx="78">
                  <c:v>460.02125157219126</c:v>
                </c:pt>
                <c:pt idx="79">
                  <c:v>474.78074356725767</c:v>
                </c:pt>
                <c:pt idx="80">
                  <c:v>489.77003036832684</c:v>
                </c:pt>
                <c:pt idx="81">
                  <c:v>504.98911197539962</c:v>
                </c:pt>
                <c:pt idx="82">
                  <c:v>520.43798838847522</c:v>
                </c:pt>
                <c:pt idx="83">
                  <c:v>536.1166596075542</c:v>
                </c:pt>
                <c:pt idx="84">
                  <c:v>552.02512563263633</c:v>
                </c:pt>
                <c:pt idx="85">
                  <c:v>568.16338646372162</c:v>
                </c:pt>
                <c:pt idx="86">
                  <c:v>584.5314421008103</c:v>
                </c:pt>
                <c:pt idx="87">
                  <c:v>601.12929254390156</c:v>
                </c:pt>
                <c:pt idx="88">
                  <c:v>617.95693779299665</c:v>
                </c:pt>
                <c:pt idx="89">
                  <c:v>635.01437784809491</c:v>
                </c:pt>
                <c:pt idx="90">
                  <c:v>652.30161270919575</c:v>
                </c:pt>
                <c:pt idx="91">
                  <c:v>669.8186423763002</c:v>
                </c:pt>
                <c:pt idx="92">
                  <c:v>687.56546684940793</c:v>
                </c:pt>
                <c:pt idx="93">
                  <c:v>705.54208612851824</c:v>
                </c:pt>
                <c:pt idx="94">
                  <c:v>723.74850021363261</c:v>
                </c:pt>
                <c:pt idx="95">
                  <c:v>742.1847091047498</c:v>
                </c:pt>
                <c:pt idx="96">
                  <c:v>760.85071280187026</c:v>
                </c:pt>
                <c:pt idx="97">
                  <c:v>779.74651130499331</c:v>
                </c:pt>
                <c:pt idx="98">
                  <c:v>798.87210461412008</c:v>
                </c:pt>
                <c:pt idx="99">
                  <c:v>818.22749272925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-178.05294156493864</c:v>
                </c:pt>
                <c:pt idx="2">
                  <c:v>-169.87006171527969</c:v>
                </c:pt>
                <c:pt idx="3">
                  <c:v>-161.68718186562069</c:v>
                </c:pt>
                <c:pt idx="4">
                  <c:v>-153.50430201596174</c:v>
                </c:pt>
                <c:pt idx="5">
                  <c:v>-145.32142216630274</c:v>
                </c:pt>
                <c:pt idx="6">
                  <c:v>-137.13854231664376</c:v>
                </c:pt>
                <c:pt idx="7">
                  <c:v>-128.95566246698479</c:v>
                </c:pt>
                <c:pt idx="8">
                  <c:v>-120.77278261732582</c:v>
                </c:pt>
                <c:pt idx="9">
                  <c:v>-112.58990276766684</c:v>
                </c:pt>
                <c:pt idx="10">
                  <c:v>-104.40702291800787</c:v>
                </c:pt>
                <c:pt idx="11">
                  <c:v>-96.224143068348909</c:v>
                </c:pt>
                <c:pt idx="12">
                  <c:v>-88.04126321868992</c:v>
                </c:pt>
                <c:pt idx="13">
                  <c:v>-79.858383369030946</c:v>
                </c:pt>
                <c:pt idx="14">
                  <c:v>-71.675503519371972</c:v>
                </c:pt>
                <c:pt idx="15">
                  <c:v>-63.492623669712991</c:v>
                </c:pt>
                <c:pt idx="16">
                  <c:v>-55.309743820054017</c:v>
                </c:pt>
                <c:pt idx="17">
                  <c:v>-47.126863970395036</c:v>
                </c:pt>
                <c:pt idx="18">
                  <c:v>-38.943984120736076</c:v>
                </c:pt>
                <c:pt idx="19">
                  <c:v>-30.761104271077084</c:v>
                </c:pt>
                <c:pt idx="20">
                  <c:v>-22.578224421418128</c:v>
                </c:pt>
                <c:pt idx="21">
                  <c:v>-14.395344571759139</c:v>
                </c:pt>
                <c:pt idx="22">
                  <c:v>-6.2124647221001794</c:v>
                </c:pt>
                <c:pt idx="23">
                  <c:v>1.9704151275588082</c:v>
                </c:pt>
                <c:pt idx="24">
                  <c:v>10.153294977217795</c:v>
                </c:pt>
                <c:pt idx="25">
                  <c:v>18.336174826876753</c:v>
                </c:pt>
                <c:pt idx="26">
                  <c:v>26.519054676535742</c:v>
                </c:pt>
                <c:pt idx="27">
                  <c:v>34.701934526194705</c:v>
                </c:pt>
                <c:pt idx="28">
                  <c:v>42.884814375853686</c:v>
                </c:pt>
                <c:pt idx="29">
                  <c:v>51.067694225512646</c:v>
                </c:pt>
                <c:pt idx="30">
                  <c:v>59.250574075171635</c:v>
                </c:pt>
                <c:pt idx="31">
                  <c:v>67.433453924830602</c:v>
                </c:pt>
                <c:pt idx="32">
                  <c:v>75.61633377448959</c:v>
                </c:pt>
                <c:pt idx="33">
                  <c:v>83.799213624148578</c:v>
                </c:pt>
                <c:pt idx="34">
                  <c:v>91.982093473807566</c:v>
                </c:pt>
                <c:pt idx="35">
                  <c:v>100.16497332346648</c:v>
                </c:pt>
                <c:pt idx="36">
                  <c:v>108.34785317312547</c:v>
                </c:pt>
                <c:pt idx="37">
                  <c:v>116.53073302278446</c:v>
                </c:pt>
                <c:pt idx="38">
                  <c:v>124.71361287244345</c:v>
                </c:pt>
                <c:pt idx="39">
                  <c:v>132.89649272210238</c:v>
                </c:pt>
                <c:pt idx="40">
                  <c:v>141.07937257176138</c:v>
                </c:pt>
                <c:pt idx="41">
                  <c:v>149.26225242142036</c:v>
                </c:pt>
                <c:pt idx="42">
                  <c:v>157.44513227107936</c:v>
                </c:pt>
                <c:pt idx="43">
                  <c:v>165.62801212073833</c:v>
                </c:pt>
                <c:pt idx="44">
                  <c:v>173.81089197039725</c:v>
                </c:pt>
                <c:pt idx="45">
                  <c:v>181.99377182005625</c:v>
                </c:pt>
                <c:pt idx="46">
                  <c:v>190.17665166971523</c:v>
                </c:pt>
                <c:pt idx="47">
                  <c:v>198.35953151937423</c:v>
                </c:pt>
                <c:pt idx="48">
                  <c:v>206.5424113690332</c:v>
                </c:pt>
                <c:pt idx="49">
                  <c:v>214.72529121869215</c:v>
                </c:pt>
                <c:pt idx="50">
                  <c:v>222.90817106835112</c:v>
                </c:pt>
                <c:pt idx="51">
                  <c:v>231.09105091801013</c:v>
                </c:pt>
                <c:pt idx="52">
                  <c:v>239.2739307676691</c:v>
                </c:pt>
                <c:pt idx="53">
                  <c:v>247.45681061732805</c:v>
                </c:pt>
                <c:pt idx="54">
                  <c:v>255.63969046698702</c:v>
                </c:pt>
                <c:pt idx="55">
                  <c:v>263.82257031664602</c:v>
                </c:pt>
                <c:pt idx="56">
                  <c:v>272.00545016630502</c:v>
                </c:pt>
                <c:pt idx="57">
                  <c:v>280.18833001596397</c:v>
                </c:pt>
                <c:pt idx="58">
                  <c:v>288.37120986562292</c:v>
                </c:pt>
                <c:pt idx="59">
                  <c:v>296.55408971528192</c:v>
                </c:pt>
                <c:pt idx="60">
                  <c:v>304.73696956494092</c:v>
                </c:pt>
                <c:pt idx="61">
                  <c:v>312.91984941459987</c:v>
                </c:pt>
                <c:pt idx="62">
                  <c:v>321.10272926425881</c:v>
                </c:pt>
                <c:pt idx="63">
                  <c:v>329.28560911391781</c:v>
                </c:pt>
                <c:pt idx="64">
                  <c:v>337.46848896357682</c:v>
                </c:pt>
                <c:pt idx="65">
                  <c:v>345.65136881323571</c:v>
                </c:pt>
                <c:pt idx="66">
                  <c:v>353.83424866289477</c:v>
                </c:pt>
                <c:pt idx="67">
                  <c:v>362.01712851255371</c:v>
                </c:pt>
                <c:pt idx="68">
                  <c:v>370.20000836221277</c:v>
                </c:pt>
                <c:pt idx="69">
                  <c:v>378.38288821187166</c:v>
                </c:pt>
                <c:pt idx="70">
                  <c:v>386.5657680615306</c:v>
                </c:pt>
                <c:pt idx="71">
                  <c:v>394.74864791118966</c:v>
                </c:pt>
                <c:pt idx="72">
                  <c:v>402.93152776084855</c:v>
                </c:pt>
                <c:pt idx="73">
                  <c:v>411.11440761050761</c:v>
                </c:pt>
                <c:pt idx="74">
                  <c:v>419.29728746016656</c:v>
                </c:pt>
                <c:pt idx="75">
                  <c:v>427.4801673098255</c:v>
                </c:pt>
                <c:pt idx="76">
                  <c:v>435.66304715948451</c:v>
                </c:pt>
                <c:pt idx="77">
                  <c:v>443.84592700914345</c:v>
                </c:pt>
                <c:pt idx="78">
                  <c:v>452.0288068588024</c:v>
                </c:pt>
                <c:pt idx="79">
                  <c:v>460.21168670846146</c:v>
                </c:pt>
                <c:pt idx="80">
                  <c:v>468.39456655812035</c:v>
                </c:pt>
                <c:pt idx="81">
                  <c:v>476.57744640777941</c:v>
                </c:pt>
                <c:pt idx="82">
                  <c:v>484.76032625743835</c:v>
                </c:pt>
                <c:pt idx="83">
                  <c:v>492.9432061070973</c:v>
                </c:pt>
                <c:pt idx="84">
                  <c:v>501.1260859567563</c:v>
                </c:pt>
                <c:pt idx="85">
                  <c:v>509.30896580641524</c:v>
                </c:pt>
                <c:pt idx="86">
                  <c:v>517.49184565607425</c:v>
                </c:pt>
                <c:pt idx="87">
                  <c:v>525.67472550573314</c:v>
                </c:pt>
                <c:pt idx="88">
                  <c:v>533.85760535539225</c:v>
                </c:pt>
                <c:pt idx="89">
                  <c:v>542.04048520505125</c:v>
                </c:pt>
                <c:pt idx="90">
                  <c:v>550.22336505471003</c:v>
                </c:pt>
                <c:pt idx="91">
                  <c:v>558.40624490436915</c:v>
                </c:pt>
                <c:pt idx="92">
                  <c:v>566.58912475402815</c:v>
                </c:pt>
                <c:pt idx="93">
                  <c:v>574.77200460368692</c:v>
                </c:pt>
                <c:pt idx="94">
                  <c:v>582.95488445334604</c:v>
                </c:pt>
                <c:pt idx="95">
                  <c:v>591.13776430300504</c:v>
                </c:pt>
                <c:pt idx="96">
                  <c:v>599.32064415266416</c:v>
                </c:pt>
                <c:pt idx="97">
                  <c:v>607.50352400232293</c:v>
                </c:pt>
                <c:pt idx="98">
                  <c:v>615.68640385198194</c:v>
                </c:pt>
                <c:pt idx="99">
                  <c:v>623.86928370164105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808.89487787919518</c:v>
                </c:pt>
                <c:pt idx="1">
                  <c:v>808.89487787919518</c:v>
                </c:pt>
                <c:pt idx="2">
                  <c:v>808.89515048212991</c:v>
                </c:pt>
                <c:pt idx="3">
                  <c:v>808.89607026707472</c:v>
                </c:pt>
                <c:pt idx="4">
                  <c:v>808.89763951288171</c:v>
                </c:pt>
                <c:pt idx="5">
                  <c:v>808.89985821955111</c:v>
                </c:pt>
                <c:pt idx="6">
                  <c:v>808.90272638708268</c:v>
                </c:pt>
                <c:pt idx="7">
                  <c:v>808.90624401547666</c:v>
                </c:pt>
                <c:pt idx="8">
                  <c:v>808.91041110473293</c:v>
                </c:pt>
                <c:pt idx="9">
                  <c:v>808.91522765485138</c:v>
                </c:pt>
                <c:pt idx="10">
                  <c:v>808.92069366583212</c:v>
                </c:pt>
                <c:pt idx="11">
                  <c:v>808.92680913767538</c:v>
                </c:pt>
                <c:pt idx="12">
                  <c:v>808.9335740703807</c:v>
                </c:pt>
                <c:pt idx="13">
                  <c:v>808.94098846394832</c:v>
                </c:pt>
                <c:pt idx="14">
                  <c:v>808.94905231837834</c:v>
                </c:pt>
                <c:pt idx="15">
                  <c:v>808.95776563367065</c:v>
                </c:pt>
                <c:pt idx="16">
                  <c:v>808.96712840982514</c:v>
                </c:pt>
                <c:pt idx="17">
                  <c:v>808.97714064684192</c:v>
                </c:pt>
                <c:pt idx="18">
                  <c:v>808.98780234472099</c:v>
                </c:pt>
                <c:pt idx="19">
                  <c:v>808.99911350346247</c:v>
                </c:pt>
                <c:pt idx="20">
                  <c:v>809.05380137179952</c:v>
                </c:pt>
                <c:pt idx="21">
                  <c:v>809.20894494002766</c:v>
                </c:pt>
                <c:pt idx="22">
                  <c:v>809.46483347495302</c:v>
                </c:pt>
                <c:pt idx="23">
                  <c:v>809.82146697657572</c:v>
                </c:pt>
                <c:pt idx="24">
                  <c:v>810.2788454448953</c:v>
                </c:pt>
                <c:pt idx="25">
                  <c:v>810.83696887991232</c:v>
                </c:pt>
                <c:pt idx="26">
                  <c:v>811.49583728162634</c:v>
                </c:pt>
                <c:pt idx="27">
                  <c:v>812.25545065003746</c:v>
                </c:pt>
                <c:pt idx="28">
                  <c:v>813.11580898514592</c:v>
                </c:pt>
                <c:pt idx="29">
                  <c:v>814.07691228695148</c:v>
                </c:pt>
                <c:pt idx="30">
                  <c:v>815.13876055545416</c:v>
                </c:pt>
                <c:pt idx="31">
                  <c:v>816.30135379065405</c:v>
                </c:pt>
                <c:pt idx="32">
                  <c:v>817.56469199255116</c:v>
                </c:pt>
                <c:pt idx="33">
                  <c:v>818.92877516114538</c:v>
                </c:pt>
                <c:pt idx="34">
                  <c:v>820.39360329643682</c:v>
                </c:pt>
                <c:pt idx="35">
                  <c:v>821.95917639842537</c:v>
                </c:pt>
                <c:pt idx="36">
                  <c:v>823.62549446711114</c:v>
                </c:pt>
                <c:pt idx="37">
                  <c:v>825.39255750249413</c:v>
                </c:pt>
                <c:pt idx="38">
                  <c:v>827.26036550457411</c:v>
                </c:pt>
                <c:pt idx="39">
                  <c:v>829.22891847335143</c:v>
                </c:pt>
                <c:pt idx="40">
                  <c:v>831.29821640882585</c:v>
                </c:pt>
                <c:pt idx="41">
                  <c:v>833.4682593109975</c:v>
                </c:pt>
                <c:pt idx="42">
                  <c:v>835.73904717986625</c:v>
                </c:pt>
                <c:pt idx="43">
                  <c:v>838.11058001543222</c:v>
                </c:pt>
                <c:pt idx="44">
                  <c:v>840.5828578176953</c:v>
                </c:pt>
                <c:pt idx="45">
                  <c:v>843.1558805866556</c:v>
                </c:pt>
                <c:pt idx="46">
                  <c:v>845.82964832231301</c:v>
                </c:pt>
                <c:pt idx="47">
                  <c:v>848.60416102466752</c:v>
                </c:pt>
                <c:pt idx="48">
                  <c:v>851.47941869371948</c:v>
                </c:pt>
                <c:pt idx="49">
                  <c:v>854.45542132946832</c:v>
                </c:pt>
                <c:pt idx="50">
                  <c:v>857.5321689319145</c:v>
                </c:pt>
                <c:pt idx="51">
                  <c:v>860.70966150105778</c:v>
                </c:pt>
                <c:pt idx="52">
                  <c:v>863.98789903689828</c:v>
                </c:pt>
                <c:pt idx="53">
                  <c:v>867.36688153943578</c:v>
                </c:pt>
                <c:pt idx="54">
                  <c:v>870.84660900867061</c:v>
                </c:pt>
                <c:pt idx="55">
                  <c:v>874.42708144460266</c:v>
                </c:pt>
                <c:pt idx="56">
                  <c:v>878.10829884723182</c:v>
                </c:pt>
                <c:pt idx="57">
                  <c:v>881.8902612165582</c:v>
                </c:pt>
                <c:pt idx="58">
                  <c:v>885.77296855258157</c:v>
                </c:pt>
                <c:pt idx="59">
                  <c:v>889.75642085530228</c:v>
                </c:pt>
                <c:pt idx="60">
                  <c:v>893.84061812472009</c:v>
                </c:pt>
                <c:pt idx="61">
                  <c:v>898.02556036083502</c:v>
                </c:pt>
                <c:pt idx="62">
                  <c:v>902.31124756364727</c:v>
                </c:pt>
                <c:pt idx="63">
                  <c:v>906.69767973315652</c:v>
                </c:pt>
                <c:pt idx="64">
                  <c:v>911.1848568693631</c:v>
                </c:pt>
                <c:pt idx="65">
                  <c:v>915.77277897226668</c:v>
                </c:pt>
                <c:pt idx="66">
                  <c:v>920.46144604186759</c:v>
                </c:pt>
                <c:pt idx="67">
                  <c:v>925.25085807816561</c:v>
                </c:pt>
                <c:pt idx="68">
                  <c:v>930.14101508116084</c:v>
                </c:pt>
                <c:pt idx="69">
                  <c:v>935.13191705085319</c:v>
                </c:pt>
                <c:pt idx="70">
                  <c:v>940.22356398724264</c:v>
                </c:pt>
                <c:pt idx="71">
                  <c:v>945.41595589032931</c:v>
                </c:pt>
                <c:pt idx="72">
                  <c:v>950.70909276011321</c:v>
                </c:pt>
                <c:pt idx="73">
                  <c:v>956.10297459659421</c:v>
                </c:pt>
                <c:pt idx="74">
                  <c:v>961.59760139977243</c:v>
                </c:pt>
                <c:pt idx="75">
                  <c:v>967.19297316964776</c:v>
                </c:pt>
                <c:pt idx="76">
                  <c:v>972.88908990622031</c:v>
                </c:pt>
                <c:pt idx="77">
                  <c:v>978.68595160948996</c:v>
                </c:pt>
                <c:pt idx="78">
                  <c:v>984.58355827945695</c:v>
                </c:pt>
                <c:pt idx="79">
                  <c:v>990.58190991612105</c:v>
                </c:pt>
                <c:pt idx="80">
                  <c:v>996.68100651948225</c:v>
                </c:pt>
                <c:pt idx="81">
                  <c:v>1002.8808480895406</c:v>
                </c:pt>
                <c:pt idx="82">
                  <c:v>1009.1814346262962</c:v>
                </c:pt>
                <c:pt idx="83">
                  <c:v>1015.5827661297488</c:v>
                </c:pt>
                <c:pt idx="84">
                  <c:v>1022.0848425998988</c:v>
                </c:pt>
                <c:pt idx="85">
                  <c:v>1028.6876640367459</c:v>
                </c:pt>
                <c:pt idx="86">
                  <c:v>1035.39123044029</c:v>
                </c:pt>
                <c:pt idx="87">
                  <c:v>1042.1955418105315</c:v>
                </c:pt>
                <c:pt idx="88">
                  <c:v>1049.10059814747</c:v>
                </c:pt>
                <c:pt idx="89">
                  <c:v>1056.1063994511057</c:v>
                </c:pt>
                <c:pt idx="90">
                  <c:v>1063.2129457214387</c:v>
                </c:pt>
                <c:pt idx="91">
                  <c:v>1070.4202369584689</c:v>
                </c:pt>
                <c:pt idx="92">
                  <c:v>1077.728273162196</c:v>
                </c:pt>
                <c:pt idx="93">
                  <c:v>1085.1370543326204</c:v>
                </c:pt>
                <c:pt idx="94">
                  <c:v>1092.646580469742</c:v>
                </c:pt>
                <c:pt idx="95">
                  <c:v>1100.2568515735609</c:v>
                </c:pt>
                <c:pt idx="96">
                  <c:v>1107.9678676440769</c:v>
                </c:pt>
                <c:pt idx="97">
                  <c:v>1115.77962868129</c:v>
                </c:pt>
                <c:pt idx="98">
                  <c:v>1123.6921346852002</c:v>
                </c:pt>
                <c:pt idx="99">
                  <c:v>1131.7053856558077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16A-4CAE-AB04-B01BF3421421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16A-4CAE-AB04-B01BF3421421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16A-4CAE-AB04-B01BF3421421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16A-4CAE-AB04-B01BF342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6958221-F8DB-4F93-9A53-F53896C90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topLeftCell="A29" zoomScaleNormal="100" workbookViewId="0">
      <selection activeCell="F62" sqref="F6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9" t="s">
        <v>403</v>
      </c>
      <c r="G1" s="169" t="s">
        <v>402</v>
      </c>
    </row>
    <row r="2" spans="1:27" ht="19.95" customHeight="1">
      <c r="A2" s="164"/>
      <c r="B2" s="163"/>
      <c r="D2" s="164"/>
      <c r="E2" s="167">
        <v>30</v>
      </c>
      <c r="F2" s="162"/>
      <c r="G2" s="170" t="e">
        <f ca="1">MAX(MAX(G5:G114),ABS(MIN(G5:G114)))</f>
        <v>#DIV/0!</v>
      </c>
      <c r="V2" s="165">
        <v>30</v>
      </c>
      <c r="W2" s="165">
        <v>60</v>
      </c>
      <c r="X2" s="165">
        <v>90</v>
      </c>
      <c r="Y2" s="165">
        <v>120</v>
      </c>
      <c r="Z2" s="165">
        <f>MATCH(gap_angle,V2:Y2,0)</f>
        <v>1</v>
      </c>
      <c r="AA2" s="166" t="str">
        <f>"PyFlange_Gap"&amp;gap_angle&amp;"deg"</f>
        <v>PyFlange_Gap30deg</v>
      </c>
    </row>
    <row r="4" spans="1:27">
      <c r="B4" s="116" t="s">
        <v>214</v>
      </c>
      <c r="C4" s="116" t="s">
        <v>213</v>
      </c>
      <c r="D4" s="116" t="s">
        <v>212</v>
      </c>
      <c r="E4" s="116" t="s">
        <v>217</v>
      </c>
      <c r="F4" s="116" t="s">
        <v>218</v>
      </c>
      <c r="G4" s="116" t="s">
        <v>221</v>
      </c>
      <c r="H4" s="116" t="s">
        <v>211</v>
      </c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</row>
    <row r="5" spans="1:27" ht="15.6">
      <c r="B5" s="106">
        <v>1</v>
      </c>
      <c r="C5" s="103" t="s">
        <v>198</v>
      </c>
      <c r="E5" s="104"/>
      <c r="F5" s="107" t="s">
        <v>86</v>
      </c>
      <c r="G5" s="104"/>
      <c r="H5" t="s">
        <v>210</v>
      </c>
    </row>
    <row r="6" spans="1:27" ht="15.6">
      <c r="B6" s="106">
        <f>B5+1</f>
        <v>2</v>
      </c>
      <c r="C6" s="105" t="s">
        <v>209</v>
      </c>
      <c r="D6" s="103" t="s">
        <v>128</v>
      </c>
      <c r="E6" s="107" cm="1">
        <f t="array" ref="E6">INDEX(SGRE!L28:O28,case_number)</f>
        <v>47.288017719282664</v>
      </c>
      <c r="F6" s="107" t="s">
        <v>86</v>
      </c>
      <c r="G6" s="107"/>
      <c r="H6" t="s">
        <v>208</v>
      </c>
    </row>
    <row r="7" spans="1:27" ht="15.6">
      <c r="B7" s="106"/>
      <c r="C7" s="105" t="s">
        <v>207</v>
      </c>
      <c r="D7" s="103" t="s">
        <v>206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205</v>
      </c>
    </row>
    <row r="8" spans="1:27" ht="15.6">
      <c r="B8" s="106"/>
      <c r="C8" s="105" t="s">
        <v>204</v>
      </c>
      <c r="D8" s="103" t="s">
        <v>144</v>
      </c>
      <c r="E8" s="107" cm="1">
        <f t="array" ref="E8">INDEX(SGRE!L30:O30,case_number)</f>
        <v>1473.1579837133568</v>
      </c>
      <c r="F8" s="107" cm="1">
        <f t="array" aca="1" ref="F8" ca="1">INDIRECT(sheet_name&amp;"!bolt.As")</f>
        <v>1473.1493426522268</v>
      </c>
      <c r="G8" s="118">
        <f ca="1">(F8-E8)/E8</f>
        <v>-5.8656717239594296E-6</v>
      </c>
    </row>
    <row r="9" spans="1:27" ht="15.6">
      <c r="B9" s="106">
        <f>B6+1</f>
        <v>3</v>
      </c>
      <c r="C9" s="103" t="s">
        <v>198</v>
      </c>
      <c r="D9" s="103" t="s">
        <v>128</v>
      </c>
      <c r="E9" s="107" cm="1">
        <f t="array" ref="E9">INDEX(SGRE!L31:O31,case_number)</f>
        <v>808.99913815980972</v>
      </c>
      <c r="F9" s="107" cm="1">
        <f t="array" aca="1" ref="F9" ca="1">INDIRECT(sheet_name&amp;"!bolt.pretension")</f>
        <v>809</v>
      </c>
      <c r="G9" s="118">
        <f ca="1">(F9-E9)/E9</f>
        <v>1.0653165740604152E-6</v>
      </c>
      <c r="H9" t="s">
        <v>203</v>
      </c>
    </row>
    <row r="10" spans="1:27" ht="15.6">
      <c r="B10" s="106"/>
      <c r="C10" s="103" t="s">
        <v>202</v>
      </c>
      <c r="D10" s="103" t="s">
        <v>128</v>
      </c>
      <c r="E10" s="107" cm="1">
        <f t="array" ref="E10">INDEX(SGRE!L32:O32,case_number)</f>
        <v>1020.8984827133563</v>
      </c>
      <c r="F10" s="107" t="s">
        <v>86</v>
      </c>
      <c r="G10" s="107"/>
    </row>
    <row r="11" spans="1:27" ht="15.6">
      <c r="B11" s="106"/>
      <c r="C11" s="103" t="s">
        <v>201</v>
      </c>
      <c r="D11" s="103" t="s">
        <v>123</v>
      </c>
      <c r="E11" s="107" cm="1">
        <f t="array" ref="E11">INDEX(SGRE!L33:O33,case_number)</f>
        <v>0.1</v>
      </c>
      <c r="F11" s="109" t="s">
        <v>86</v>
      </c>
      <c r="G11" s="109"/>
    </row>
    <row r="12" spans="1:27" ht="15.6">
      <c r="B12" s="106"/>
      <c r="C12" s="103" t="s">
        <v>200</v>
      </c>
      <c r="D12" s="103" t="s">
        <v>128</v>
      </c>
      <c r="E12" s="107" cm="1">
        <f t="array" ref="E12">INDEX(SGRE!L34:O34,case_number)</f>
        <v>945.76035438565327</v>
      </c>
      <c r="F12" s="107" t="s">
        <v>86</v>
      </c>
      <c r="G12" s="107"/>
      <c r="H12" t="s">
        <v>199</v>
      </c>
    </row>
    <row r="13" spans="1:27" ht="15.6">
      <c r="B13" s="131">
        <f>B9+1</f>
        <v>4</v>
      </c>
      <c r="C13" s="130" t="s">
        <v>277</v>
      </c>
      <c r="D13" s="130" t="s">
        <v>128</v>
      </c>
      <c r="E13" s="107" cm="1">
        <f t="array" ref="E13">INDEX(SGRE!L35:O35,case_number)</f>
        <v>808.99913815980972</v>
      </c>
      <c r="F13" s="129" t="s">
        <v>86</v>
      </c>
      <c r="G13" s="129"/>
      <c r="H13" s="132" t="s">
        <v>197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196</v>
      </c>
      <c r="D14" s="103" t="s">
        <v>276</v>
      </c>
      <c r="E14" s="107" cm="1">
        <f t="array" ref="E14">INDEX(SGRE!L36:O36,case_number)</f>
        <v>9.1986306542215614E-10</v>
      </c>
      <c r="F14" s="114" cm="1">
        <f t="array" aca="1" ref="F14" ca="1">1/(INDIRECT(sheet_name&amp;"!bolt.axial_stiffness")*1000000)</f>
        <v>9.1986442977285253E-10</v>
      </c>
      <c r="G14" s="118">
        <f ca="1">(F14-E14)/E14</f>
        <v>1.4832106513199276E-6</v>
      </c>
    </row>
    <row r="15" spans="1:27" ht="15.6">
      <c r="B15" s="106"/>
      <c r="C15" s="105" t="s">
        <v>195</v>
      </c>
      <c r="D15" s="103" t="s">
        <v>276</v>
      </c>
      <c r="E15" s="107" cm="1">
        <f t="array" ref="E15">INDEX(SGRE!L37:O37,case_number)</f>
        <v>1.5408931721752862E-10</v>
      </c>
      <c r="F15" s="114" cm="1">
        <f t="array" aca="1" ref="F15" ca="1">1/(INDIRECT(sheet_name&amp;"!clamped_parts_stiffness")*1000000)</f>
        <v>1.5408931721752864E-10</v>
      </c>
      <c r="G15" s="118">
        <f ca="1">(F15-E15)/E15</f>
        <v>1.6775591331740671E-16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194</v>
      </c>
      <c r="D16" s="103" t="s">
        <v>123</v>
      </c>
      <c r="E16" s="107" cm="1">
        <f t="array" ref="E16">INDEX(SGRE!L38:O38,case_number)</f>
        <v>0.14347872373893336</v>
      </c>
      <c r="F16" s="109" cm="1">
        <f t="array" aca="1" ref="F16" ca="1">INDIRECT(sheet_name&amp;"!bolt.axial_stiffness")/(INDIRECT(sheet_name&amp;"!bolt.axial_stiffness")+INDIRECT(sheet_name&amp;"!clamped_parts_stiffness"))</f>
        <v>0.14347854146358197</v>
      </c>
      <c r="G16" s="118">
        <f ca="1">(F16-E16)/E16</f>
        <v>-1.270399865888617E-6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193</v>
      </c>
      <c r="D17" s="103" t="s">
        <v>128</v>
      </c>
      <c r="E17" s="107" cm="1">
        <f t="array" ref="E17">INDEX(SGRE!L39:O39,case_number)</f>
        <v>89.473198506560863</v>
      </c>
      <c r="F17" s="108" t="s">
        <v>86</v>
      </c>
      <c r="G17" s="108"/>
    </row>
    <row r="18" spans="2:8" ht="15.6">
      <c r="B18" s="106"/>
      <c r="C18" s="105" t="s">
        <v>192</v>
      </c>
      <c r="D18" s="103" t="s">
        <v>275</v>
      </c>
      <c r="E18" s="107" cm="1">
        <f t="array" ref="E18">INDEX(SGRE!L40:O40,case_number)</f>
        <v>500</v>
      </c>
      <c r="F18" s="107" t="s">
        <v>86</v>
      </c>
      <c r="G18" s="107"/>
    </row>
    <row r="19" spans="2:8" ht="15.6">
      <c r="B19" s="106">
        <f>B17+1</f>
        <v>6</v>
      </c>
      <c r="C19" s="103" t="s">
        <v>191</v>
      </c>
      <c r="D19" s="103" t="s">
        <v>275</v>
      </c>
      <c r="E19" s="107" cm="1">
        <f t="array" ref="E19">INDEX(SGRE!L41:O41,case_number)</f>
        <v>96.08995471851452</v>
      </c>
      <c r="F19" s="107" t="s">
        <v>86</v>
      </c>
      <c r="G19" s="107"/>
      <c r="H19" t="s">
        <v>190</v>
      </c>
    </row>
    <row r="20" spans="2:8" ht="15.6">
      <c r="B20" s="106">
        <f>B19+1</f>
        <v>7</v>
      </c>
      <c r="C20" s="103" t="s">
        <v>189</v>
      </c>
      <c r="D20" s="103" t="s">
        <v>128</v>
      </c>
      <c r="E20" s="107" cm="1">
        <f t="array" ref="E20">INDEX(SGRE!L42:O42,case_number)</f>
        <v>1126.9658575407177</v>
      </c>
      <c r="F20" s="111" t="s">
        <v>86</v>
      </c>
      <c r="G20" s="111"/>
    </row>
    <row r="21" spans="2:8" ht="15.6">
      <c r="B21" s="106">
        <f>B20+1</f>
        <v>8</v>
      </c>
      <c r="C21" s="103" t="s">
        <v>188</v>
      </c>
      <c r="D21" s="103" t="s">
        <v>184</v>
      </c>
      <c r="E21" s="107" cm="1">
        <f t="array" ref="E21">INDEX(SGRE!L43:O43,case_number)</f>
        <v>65.673222412000001</v>
      </c>
      <c r="F21" s="107" t="s">
        <v>86</v>
      </c>
      <c r="G21" s="107"/>
      <c r="H21" t="s">
        <v>187</v>
      </c>
    </row>
    <row r="22" spans="2:8" ht="15.6">
      <c r="B22" s="106">
        <f>B21+1</f>
        <v>9</v>
      </c>
      <c r="C22" s="103" t="s">
        <v>186</v>
      </c>
      <c r="D22" s="103" t="s">
        <v>184</v>
      </c>
      <c r="E22" s="107" cm="1">
        <f t="array" ref="E22">INDEX(SGRE!L44:O44,case_number)</f>
        <v>65.673222412000001</v>
      </c>
      <c r="F22" s="107" t="s">
        <v>86</v>
      </c>
      <c r="G22" s="107"/>
    </row>
    <row r="23" spans="2:8" ht="15.6">
      <c r="B23" s="106">
        <f>B22+1</f>
        <v>10</v>
      </c>
      <c r="C23" s="103" t="s">
        <v>185</v>
      </c>
      <c r="D23" s="103" t="s">
        <v>184</v>
      </c>
      <c r="E23" s="107" cm="1">
        <f t="array" ref="E23">INDEX(SGRE!L45:O45,case_number)</f>
        <v>-58.57360279409982</v>
      </c>
      <c r="F23" s="107" t="s">
        <v>86</v>
      </c>
      <c r="G23" s="107"/>
    </row>
    <row r="24" spans="2:8" ht="15.6">
      <c r="B24" s="106"/>
      <c r="C24" s="103" t="s">
        <v>183</v>
      </c>
      <c r="D24" s="103" t="s">
        <v>128</v>
      </c>
      <c r="E24" s="107" cm="1">
        <f t="array" ref="E24">INDEX(SGRE!L46:O46,case_number)</f>
        <v>369.02469277749583</v>
      </c>
      <c r="F24" s="111" t="s">
        <v>86</v>
      </c>
      <c r="G24" s="111"/>
    </row>
    <row r="25" spans="2:8" ht="15.6">
      <c r="B25" s="106">
        <f>B23+1</f>
        <v>11</v>
      </c>
      <c r="C25" s="103" t="s">
        <v>182</v>
      </c>
      <c r="D25" s="103" t="s">
        <v>123</v>
      </c>
      <c r="E25" s="104"/>
      <c r="F25" s="110" t="s">
        <v>86</v>
      </c>
      <c r="G25" s="104"/>
      <c r="H25" t="s">
        <v>308</v>
      </c>
    </row>
    <row r="26" spans="2:8" ht="15.6">
      <c r="B26" s="106"/>
      <c r="C26" s="105" t="s">
        <v>181</v>
      </c>
      <c r="D26" s="103" t="s">
        <v>180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179</v>
      </c>
      <c r="D27" s="103" t="s">
        <v>173</v>
      </c>
      <c r="E27" s="107" cm="1">
        <f t="array" ref="E27">INDEX(SGRE!L49:O49,case_number)</f>
        <v>1.2042771838760873</v>
      </c>
      <c r="F27" s="109" cm="1">
        <f t="array" aca="1" ref="F27" ca="1">INDIRECT(sheet_name&amp;"!gap.L")/1000</f>
        <v>1.2042771838760875</v>
      </c>
      <c r="G27" s="118">
        <f t="shared" ca="1" si="0"/>
        <v>1.8437998153411694E-16</v>
      </c>
      <c r="H27" t="s">
        <v>321</v>
      </c>
    </row>
    <row r="28" spans="2:8">
      <c r="B28" s="106"/>
      <c r="C28" s="103" t="s">
        <v>93</v>
      </c>
      <c r="D28" s="103" t="s">
        <v>173</v>
      </c>
      <c r="E28" s="107" cm="1">
        <f t="array" ref="E28">INDEX(SGRE!L50:O50,case_number)</f>
        <v>4.5999999999999996</v>
      </c>
      <c r="F28" s="109" cm="1">
        <f t="array" aca="1" ref="F28" ca="1">2*INDIRECT(sheet_name&amp;"!Radius")/1000</f>
        <v>4.5999999999999996</v>
      </c>
      <c r="G28" s="118">
        <f t="shared" ca="1" si="0"/>
        <v>0</v>
      </c>
    </row>
    <row r="29" spans="2:8" ht="15.6">
      <c r="B29" s="106"/>
      <c r="C29" s="103" t="s">
        <v>178</v>
      </c>
      <c r="D29" s="103" t="s">
        <v>177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176</v>
      </c>
      <c r="D30" s="103" t="s">
        <v>126</v>
      </c>
      <c r="E30" s="107" cm="1">
        <f t="array" ref="E30">INDEX(SGRE!L52:O52,case_number)</f>
        <v>0.25543636477371356</v>
      </c>
      <c r="F30" s="109" cm="1">
        <f t="array" aca="1" ref="F30" ca="1">INDIRECT(sheet_name&amp;"!gap.k_mean")</f>
        <v>0.25543636477371395</v>
      </c>
      <c r="G30" s="118">
        <f t="shared" ca="1" si="0"/>
        <v>1.5212323388764126E-15</v>
      </c>
    </row>
    <row r="31" spans="2:8" ht="15.6">
      <c r="B31" s="106">
        <f>B30+1</f>
        <v>13</v>
      </c>
      <c r="C31" s="103" t="s">
        <v>175</v>
      </c>
      <c r="D31" s="103" t="s">
        <v>123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174</v>
      </c>
      <c r="D32" s="103" t="s">
        <v>173</v>
      </c>
      <c r="E32" s="107" cm="1">
        <f t="array" ref="E32">INDEX(SGRE!L54:O54,case_number)</f>
        <v>1.2042771838760873</v>
      </c>
      <c r="F32" s="109" t="s">
        <v>86</v>
      </c>
      <c r="G32" s="109"/>
    </row>
    <row r="33" spans="2:8" ht="15.6">
      <c r="B33" s="106">
        <f>B31+1</f>
        <v>14</v>
      </c>
      <c r="C33" s="103" t="s">
        <v>172</v>
      </c>
      <c r="D33" s="103" t="s">
        <v>126</v>
      </c>
      <c r="E33" s="107" cm="1">
        <f t="array" ref="E33">INDEX(SGRE!L55:O55,case_number)</f>
        <v>1.5363538916529389</v>
      </c>
      <c r="F33" s="109" t="s">
        <v>86</v>
      </c>
      <c r="G33" s="109"/>
    </row>
    <row r="34" spans="2:8" ht="15.6">
      <c r="B34" s="106">
        <f>B33+1</f>
        <v>15</v>
      </c>
      <c r="C34" s="103" t="s">
        <v>171</v>
      </c>
      <c r="D34" s="103" t="s">
        <v>126</v>
      </c>
      <c r="E34" s="107" cm="1">
        <f t="array" ref="E34">INDEX(SGRE!L56:O56,case_number)</f>
        <v>2.3045308374794082</v>
      </c>
      <c r="F34" s="109" t="s">
        <v>86</v>
      </c>
      <c r="G34" s="109"/>
    </row>
    <row r="35" spans="2:8" ht="15.6">
      <c r="B35" s="106">
        <f>B34+1</f>
        <v>16</v>
      </c>
      <c r="C35" s="105" t="s">
        <v>170</v>
      </c>
      <c r="D35" s="103"/>
      <c r="E35" s="107" cm="1">
        <f t="array" ref="E35">INDEX(SGRE!L57:O57,case_number)</f>
        <v>0.95286282352314688</v>
      </c>
      <c r="F35" s="109" t="s">
        <v>86</v>
      </c>
      <c r="G35" s="109"/>
    </row>
    <row r="36" spans="2:8" ht="15.6">
      <c r="B36" s="106">
        <f>B35+1</f>
        <v>17</v>
      </c>
      <c r="C36" s="105" t="s">
        <v>169</v>
      </c>
      <c r="D36" s="103"/>
      <c r="E36" s="107" cm="1">
        <f t="array" ref="E36">INDEX(SGRE!L58:O58,case_number)</f>
        <v>-1.818755742136632</v>
      </c>
      <c r="F36" s="109" t="s">
        <v>86</v>
      </c>
      <c r="G36" s="109"/>
    </row>
    <row r="37" spans="2:8" ht="15.6">
      <c r="B37" s="106">
        <f>B36+1</f>
        <v>18</v>
      </c>
      <c r="C37" s="103" t="s">
        <v>168</v>
      </c>
      <c r="D37" s="103"/>
      <c r="E37" s="107" cm="1">
        <f t="array" ref="E37">INDEX(SGRE!L59:O59,case_number)</f>
        <v>-0.25139168372340781</v>
      </c>
      <c r="F37" s="113" t="s">
        <v>86</v>
      </c>
      <c r="G37" s="109"/>
    </row>
    <row r="38" spans="2:8" ht="15.6">
      <c r="B38" s="106">
        <f>B37+1</f>
        <v>19</v>
      </c>
      <c r="C38" s="103" t="s">
        <v>167</v>
      </c>
      <c r="D38" s="103" t="s">
        <v>126</v>
      </c>
      <c r="E38" s="107" cm="1">
        <f t="array" ref="E38">INDEX(SGRE!L60:O60,case_number)</f>
        <v>0.77768332816019681</v>
      </c>
      <c r="F38" s="109" cm="1">
        <f t="array" aca="1" ref="F38" ca="1">INDIRECT(sheet_name&amp;"!gap.h")</f>
        <v>0.77768332816019836</v>
      </c>
      <c r="G38" s="118">
        <f t="shared" ref="G38:G39" ca="1" si="1">(F38-E38)/E38</f>
        <v>1.9986441501225583E-15</v>
      </c>
    </row>
    <row r="39" spans="2:8" ht="15.6">
      <c r="B39" s="106"/>
      <c r="C39" s="103" t="s">
        <v>166</v>
      </c>
      <c r="D39" s="103" t="s">
        <v>126</v>
      </c>
      <c r="E39" s="107" cm="1">
        <f t="array" ref="E39">INDEX(SGRE!L61:O61,case_number)</f>
        <v>0.77768332816019681</v>
      </c>
      <c r="F39" s="109" cm="1">
        <f t="array" aca="1" ref="F39" ca="1">INDIRECT(sheet_name&amp;"!gap.h")</f>
        <v>0.77768332816019836</v>
      </c>
      <c r="G39" s="118">
        <f t="shared" ca="1" si="1"/>
        <v>1.9986441501225583E-15</v>
      </c>
      <c r="H39" t="s">
        <v>165</v>
      </c>
    </row>
    <row r="40" spans="2:8">
      <c r="B40" s="106">
        <f>B38+1</f>
        <v>20</v>
      </c>
      <c r="C40" s="103" t="s">
        <v>164</v>
      </c>
      <c r="D40" s="103"/>
      <c r="E40" s="128"/>
      <c r="F40" s="128"/>
      <c r="G40" s="128"/>
      <c r="H40" t="s">
        <v>163</v>
      </c>
    </row>
    <row r="41" spans="2:8">
      <c r="B41" s="106">
        <f>B40+1</f>
        <v>21</v>
      </c>
      <c r="C41" s="112" t="s">
        <v>162</v>
      </c>
      <c r="D41" s="103"/>
      <c r="E41" s="128"/>
      <c r="F41" s="128"/>
      <c r="G41" s="128"/>
      <c r="H41" t="s">
        <v>161</v>
      </c>
    </row>
    <row r="42" spans="2:8" ht="15.6">
      <c r="B42" s="106">
        <f>B41+1</f>
        <v>22</v>
      </c>
      <c r="C42" s="103" t="s">
        <v>160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159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158</v>
      </c>
      <c r="D44" s="103"/>
      <c r="E44" s="128"/>
      <c r="F44" s="128"/>
      <c r="G44" s="128"/>
      <c r="H44" t="s">
        <v>157</v>
      </c>
    </row>
    <row r="45" spans="2:8" ht="15.6">
      <c r="B45" s="106"/>
      <c r="C45" s="103" t="s">
        <v>320</v>
      </c>
      <c r="D45" s="103" t="s">
        <v>128</v>
      </c>
      <c r="E45" s="107" cm="1">
        <f t="array" ref="E45">INDEX(SGRE!L67:O67,case_number)</f>
        <v>-30.138888888888889</v>
      </c>
      <c r="F45" s="109" cm="1">
        <f t="array" aca="1" ref="F45" ca="1">INDIRECT(sheet_name&amp;"!Point1.Z")</f>
        <v>-30.138999999999999</v>
      </c>
      <c r="G45" s="118">
        <f t="shared" ref="G45" ca="1" si="2">(F45-E45)/E45</f>
        <v>3.6866359446656738E-6</v>
      </c>
    </row>
    <row r="46" spans="2:8" ht="15.6">
      <c r="B46" s="106"/>
      <c r="C46" s="103" t="s">
        <v>319</v>
      </c>
      <c r="D46" s="103" t="s">
        <v>128</v>
      </c>
      <c r="E46" s="107" cm="1">
        <f t="array" ref="E46">INDEX(SGRE!L68:O68,case_number)</f>
        <v>808.99913815980972</v>
      </c>
      <c r="F46" s="107" cm="1">
        <f t="array" aca="1" ref="F46" ca="1">INDIRECT(sheet_name&amp;"!Point1.Fs")</f>
        <v>809</v>
      </c>
      <c r="G46" s="118">
        <f t="shared" ref="G46:G50" ca="1" si="3">(F46-E46)/E46</f>
        <v>1.0653165740604152E-6</v>
      </c>
    </row>
    <row r="47" spans="2:8" ht="15.6">
      <c r="B47" s="106"/>
      <c r="C47" s="103" t="s">
        <v>318</v>
      </c>
      <c r="D47" s="103" t="s">
        <v>128</v>
      </c>
      <c r="E47" s="107" cm="1">
        <f t="array" ref="E47">INDEX(SGRE!L69:O69,case_number)</f>
        <v>564.99106144430425</v>
      </c>
      <c r="F47" s="108" cm="1">
        <f t="array" aca="1" ref="F47" ca="1">INDIRECT(sheet_name&amp;"!Point2.Z")</f>
        <v>597.07930884988696</v>
      </c>
      <c r="G47" s="118">
        <f t="shared" ca="1" si="3"/>
        <v>5.6794256750813933E-2</v>
      </c>
    </row>
    <row r="48" spans="2:8" ht="15.6">
      <c r="B48" s="106"/>
      <c r="C48" s="103" t="s">
        <v>317</v>
      </c>
      <c r="D48" s="103" t="s">
        <v>128</v>
      </c>
      <c r="E48" s="107" cm="1">
        <f t="array" ref="E48">INDEX(SGRE!L70:O70,case_number)</f>
        <v>1103.1006982045617</v>
      </c>
      <c r="F48" s="107" cm="1">
        <f t="array" aca="1" ref="F48" ca="1">INDIRECT(sheet_name&amp;"!Point2.Fs")</f>
        <v>1103.0942277779873</v>
      </c>
      <c r="G48" s="118">
        <f t="shared" ca="1" si="3"/>
        <v>-5.8656717242183184E-6</v>
      </c>
    </row>
    <row r="49" spans="2:8" ht="15.6">
      <c r="B49" s="106"/>
      <c r="C49" s="103" t="s">
        <v>316</v>
      </c>
      <c r="D49" s="103" t="s">
        <v>128</v>
      </c>
      <c r="E49" s="107" cm="1">
        <f t="array" ref="E49">INDEX(SGRE!L71:O71,case_number)</f>
        <v>57.880991957583241</v>
      </c>
      <c r="F49" s="107" cm="1">
        <f t="array" aca="1" ref="F49" ca="1">INDIRECT(sheet_name&amp;"!Point3.Z")</f>
        <v>45.862173173553174</v>
      </c>
      <c r="G49" s="118">
        <f t="shared" ca="1" si="3"/>
        <v>-0.2076470768302966</v>
      </c>
    </row>
    <row r="50" spans="2:8" ht="15.6">
      <c r="B50" s="106"/>
      <c r="C50" s="103" t="s">
        <v>315</v>
      </c>
      <c r="D50" s="103" t="s">
        <v>128</v>
      </c>
      <c r="E50" s="107" cm="1">
        <f t="array" ref="E50">INDEX(SGRE!L72:O72,case_number)</f>
        <v>820.46246254221171</v>
      </c>
      <c r="F50" s="107" cm="1">
        <f t="array" aca="1" ref="F50" ca="1">INDIRECT(sheet_name&amp;"!Point3.Fs")</f>
        <v>815.74866461573617</v>
      </c>
      <c r="G50" s="118">
        <f t="shared" ca="1" si="3"/>
        <v>-5.745293833272741E-3</v>
      </c>
    </row>
    <row r="51" spans="2:8" ht="15.6">
      <c r="B51" s="106"/>
      <c r="C51" s="103" t="s">
        <v>314</v>
      </c>
      <c r="D51" s="103"/>
      <c r="E51" s="107" cm="1">
        <f t="array" ref="E51">INDEX(SGRE!L73:O73,case_number)</f>
        <v>26564082.328809023</v>
      </c>
      <c r="F51" s="110" t="s">
        <v>86</v>
      </c>
      <c r="G51" s="110"/>
    </row>
    <row r="52" spans="2:8" ht="15.6">
      <c r="B52" s="106"/>
      <c r="C52" s="103" t="s">
        <v>313</v>
      </c>
      <c r="D52" s="103"/>
      <c r="E52" s="107" cm="1">
        <f t="array" ref="E52">INDEX(SGRE!L74:O74,case_number)</f>
        <v>19064.61660154846</v>
      </c>
      <c r="F52" s="111" t="s">
        <v>86</v>
      </c>
      <c r="G52" s="111"/>
    </row>
    <row r="53" spans="2:8" ht="15.6">
      <c r="B53" s="106"/>
      <c r="C53" s="103" t="s">
        <v>312</v>
      </c>
      <c r="D53" s="103"/>
      <c r="E53" s="107" cm="1">
        <f t="array" ref="E53">INDEX(SGRE!L75:O75,case_number)</f>
        <v>2930697.3626370565</v>
      </c>
      <c r="F53" s="111" t="s">
        <v>86</v>
      </c>
      <c r="G53" s="111"/>
    </row>
    <row r="54" spans="2:8" ht="15.6">
      <c r="B54" s="106"/>
      <c r="C54" s="105" t="s">
        <v>311</v>
      </c>
      <c r="D54" s="103"/>
      <c r="E54" s="107" cm="1">
        <f t="array" ref="E54">INDEX(SGRE!L76:O76,case_number)</f>
        <v>7.1768399019275309E-4</v>
      </c>
      <c r="F54" s="137" cm="1">
        <f t="array" aca="1" ref="F54" ca="1">INDIRECT(sheet_name&amp;"!Fs_coeff.tens.2")*1000</f>
        <v>6.8954623439877933E-4</v>
      </c>
      <c r="G54" s="118">
        <f t="shared" ref="G54:G56" ca="1" si="4">(F54-E54)/E54</f>
        <v>-3.9206330611355304E-2</v>
      </c>
    </row>
    <row r="55" spans="2:8" ht="15.6">
      <c r="B55" s="106"/>
      <c r="C55" s="105" t="s">
        <v>310</v>
      </c>
      <c r="D55" s="103"/>
      <c r="E55" s="107" cm="1">
        <f t="array" ref="E55">INDEX(SGRE!L77:O77,case_number)</f>
        <v>0.1103255639084767</v>
      </c>
      <c r="F55" s="137" cm="1">
        <f t="array" aca="1" ref="F55" ca="1">INDIRECT(sheet_name&amp;"!Fs_coeff.tens.1")</f>
        <v>7.7954993061462322E-2</v>
      </c>
      <c r="G55" s="118">
        <f t="shared" ca="1" si="4"/>
        <v>-0.29340952087829963</v>
      </c>
    </row>
    <row r="56" spans="2:8" ht="14.4">
      <c r="B56" s="106"/>
      <c r="C56" s="112" t="s">
        <v>309</v>
      </c>
      <c r="D56" s="103"/>
      <c r="E56" s="107" cm="1">
        <f t="array" ref="E56">INDEX(SGRE!L78:O78,case_number)</f>
        <v>811.67231793674671</v>
      </c>
      <c r="F56" s="107" cm="1">
        <f t="array" aca="1" ref="F56" ca="1">INDIRECT(sheet_name&amp;"!Fs_coeff.tens.0")/1000</f>
        <v>810.72312978660284</v>
      </c>
      <c r="G56" s="118">
        <f t="shared" ca="1" si="4"/>
        <v>-1.1694228436380384E-3</v>
      </c>
    </row>
    <row r="57" spans="2:8" ht="15.6">
      <c r="B57" s="106">
        <f>B44+1</f>
        <v>25</v>
      </c>
      <c r="C57" s="105" t="s">
        <v>156</v>
      </c>
      <c r="D57" s="103" t="s">
        <v>128</v>
      </c>
      <c r="E57" s="107" cm="1">
        <f t="array" ref="E57">INDEX(SGRE!L79:O79,case_number)</f>
        <v>367.16422952629608</v>
      </c>
      <c r="F57" s="107" cm="1">
        <f t="array" aca="1" ref="F57" ca="1">-INDIRECT(sheet_name&amp;"!DZ_gap")</f>
        <v>250.3393512065656</v>
      </c>
      <c r="G57" s="118">
        <f ca="1">(F57-E57)/E57</f>
        <v>-0.31818153546834976</v>
      </c>
    </row>
    <row r="58" spans="2:8" ht="15.6">
      <c r="B58" s="106"/>
      <c r="C58" s="103" t="s">
        <v>145</v>
      </c>
      <c r="D58" s="103" t="s">
        <v>144</v>
      </c>
      <c r="E58" s="107" cm="1">
        <f t="array" ref="E58">INDEX(SGRE!L80:O80,case_number)</f>
        <v>12462.741690022009</v>
      </c>
      <c r="F58" s="111" t="s">
        <v>86</v>
      </c>
      <c r="G58" s="111"/>
    </row>
    <row r="59" spans="2:8" ht="16.8">
      <c r="B59" s="106"/>
      <c r="C59" s="103" t="s">
        <v>143</v>
      </c>
      <c r="D59" s="103" t="s">
        <v>274</v>
      </c>
      <c r="E59" s="107" cm="1">
        <f t="array" ref="E59">INDEX(SGRE!L81:O81,case_number)</f>
        <v>16227528.242216157</v>
      </c>
      <c r="F59" s="114" cm="1">
        <f t="array" aca="1" ref="F59" ca="1">INDIRECT(sheet_name&amp;"!I_tg")</f>
        <v>16227528.242216157</v>
      </c>
      <c r="G59" s="118">
        <f t="shared" ref="G59:G61" ca="1" si="5">(F59-E59)/E59</f>
        <v>0</v>
      </c>
    </row>
    <row r="60" spans="2:8" ht="15.6">
      <c r="B60" s="106"/>
      <c r="C60" s="103" t="s">
        <v>149</v>
      </c>
      <c r="D60" s="103" t="s">
        <v>144</v>
      </c>
      <c r="E60" s="107" cm="1">
        <f t="array" ref="E60">INDEX(SGRE!L82:O82,case_number)</f>
        <v>31875</v>
      </c>
      <c r="F60" s="111" cm="1">
        <f t="array" aca="1" ref="F60" ca="1">INDIRECT(sheet_name&amp;"!flange.A_cf")</f>
        <v>31875.000000000004</v>
      </c>
      <c r="G60" s="118">
        <f t="shared" ca="1" si="5"/>
        <v>1.1413266845777923E-16</v>
      </c>
    </row>
    <row r="61" spans="2:8" ht="16.8">
      <c r="B61" s="106"/>
      <c r="C61" s="103" t="s">
        <v>148</v>
      </c>
      <c r="D61" s="103" t="s">
        <v>274</v>
      </c>
      <c r="E61" s="107" cm="1">
        <f t="array" ref="E61">INDEX(SGRE!L83:O83,case_number)</f>
        <v>41503906.25</v>
      </c>
      <c r="F61" s="114" cm="1">
        <f t="array" aca="1" ref="F61" ca="1">INDIRECT(sheet_name&amp;"!flange.I_cf")</f>
        <v>41503906.249999993</v>
      </c>
      <c r="G61" s="118">
        <f t="shared" ca="1" si="5"/>
        <v>-1.7951516544117647E-16</v>
      </c>
    </row>
    <row r="62" spans="2:8" ht="15.6">
      <c r="B62" s="106">
        <f>B57+1</f>
        <v>26</v>
      </c>
      <c r="C62" s="103" t="s">
        <v>155</v>
      </c>
      <c r="D62" s="103" t="s">
        <v>135</v>
      </c>
      <c r="E62" s="107" cm="1">
        <f t="array" ref="E62">INDEX(SGRE!L84:O84,case_number)</f>
        <v>9470.7416620040567</v>
      </c>
      <c r="F62" s="111" cm="1">
        <f t="array" aca="1" ref="F62" ca="1">INDIRECT(sheet_name&amp;"!gap.stiffness")</f>
        <v>6457.3265379635222</v>
      </c>
      <c r="G62" s="118">
        <f ca="1">(F62-E62)/E62</f>
        <v>-0.31818153546835115</v>
      </c>
    </row>
    <row r="63" spans="2:8" ht="15.6">
      <c r="B63" s="106"/>
      <c r="C63" s="103" t="s">
        <v>358</v>
      </c>
      <c r="D63" s="103" t="s">
        <v>123</v>
      </c>
      <c r="E63" s="109" cm="1">
        <f t="array" ref="E63">INDEX(SGRE!L85:O85,case_number)</f>
        <v>0</v>
      </c>
      <c r="F63" s="109" cm="1">
        <f t="array" aca="1" ref="F63" ca="1">INDIRECT(sheet_name&amp;"!gap.stiffness_correction_factor")</f>
        <v>1.5</v>
      </c>
      <c r="G63" s="118" t="e">
        <f ca="1">(F63-E63)/E63</f>
        <v>#DIV/0!</v>
      </c>
    </row>
    <row r="64" spans="2:8" ht="15.6">
      <c r="B64" s="106">
        <f>B62+1</f>
        <v>27</v>
      </c>
      <c r="C64" s="103" t="s">
        <v>152</v>
      </c>
      <c r="D64" s="103" t="s">
        <v>135</v>
      </c>
      <c r="E64" s="107" cm="1">
        <f t="array" ref="E64">INDEX(SGRE!L86:O86,case_number)</f>
        <v>2762.8420208404168</v>
      </c>
      <c r="F64" s="111" t="s">
        <v>86</v>
      </c>
      <c r="G64" s="111"/>
      <c r="H64" t="s">
        <v>154</v>
      </c>
    </row>
    <row r="65" spans="2:8" ht="15.6">
      <c r="B65" s="106"/>
      <c r="C65" s="103" t="s">
        <v>152</v>
      </c>
      <c r="D65" s="103" t="s">
        <v>135</v>
      </c>
      <c r="E65" s="107" cm="1">
        <f t="array" ref="E65">INDEX(SGRE!L87:O87,case_number)</f>
        <v>2873.9789957155294</v>
      </c>
      <c r="F65" s="111" cm="1">
        <f t="array" aca="1" ref="F65" ca="1">INDIRECT(sheet_name&amp;"!gap.k_shell")</f>
        <v>2873.978995715529</v>
      </c>
      <c r="G65" s="118">
        <f ca="1">(F65-E65)/E65</f>
        <v>-1.5822918384733931E-16</v>
      </c>
      <c r="H65" t="s">
        <v>153</v>
      </c>
    </row>
    <row r="66" spans="2:8" ht="15.6">
      <c r="B66" s="106"/>
      <c r="C66" s="103" t="s">
        <v>152</v>
      </c>
      <c r="D66" s="103" t="s">
        <v>135</v>
      </c>
      <c r="E66" s="107" cm="1">
        <f t="array" ref="E66">INDEX(SGRE!L88:O88,case_number)</f>
        <v>2873.9789957155294</v>
      </c>
      <c r="F66" s="111" cm="1">
        <f t="array" aca="1" ref="F66" ca="1">INDIRECT(sheet_name&amp;"!gap.k_shell")</f>
        <v>2873.978995715529</v>
      </c>
      <c r="G66" s="118">
        <f ca="1">(F66-E66)/E66</f>
        <v>-1.5822918384733931E-16</v>
      </c>
      <c r="H66" t="s">
        <v>151</v>
      </c>
    </row>
    <row r="67" spans="2:8" ht="15.6">
      <c r="B67" s="106">
        <f>B64+1</f>
        <v>28</v>
      </c>
      <c r="C67" s="103" t="s">
        <v>150</v>
      </c>
      <c r="D67" s="103" t="s">
        <v>123</v>
      </c>
      <c r="E67" s="107" cm="1">
        <f t="array" ref="E67">INDEX(SGRE!L89:O89,case_number)</f>
        <v>1.8202477434344697</v>
      </c>
      <c r="F67" s="109" cm="1">
        <f t="array" aca="1" ref="F67" ca="1">INDIRECT(sheet_name&amp;"!gap.k_fac")</f>
        <v>1.8202477434344697</v>
      </c>
      <c r="G67" s="118">
        <f ca="1">(F67-E67)/E67</f>
        <v>0</v>
      </c>
    </row>
    <row r="68" spans="2:8" ht="15.6">
      <c r="B68" s="106">
        <f>B67+1</f>
        <v>29</v>
      </c>
      <c r="C68" s="103" t="s">
        <v>147</v>
      </c>
      <c r="D68" s="103" t="s">
        <v>135</v>
      </c>
      <c r="E68" s="107" cm="1">
        <f t="array" ref="E68">INDEX(SGRE!L90:O90,case_number)</f>
        <v>1430.9035779226776</v>
      </c>
      <c r="F68" s="107" cm="1">
        <f t="array" aca="1" ref="F68" ca="1">INDIRECT(sheet_name&amp;"!gap.k_fl")</f>
        <v>1430.9053629268196</v>
      </c>
      <c r="G68" s="118">
        <f ca="1">(F68-E68)/E68</f>
        <v>1.2474664048186463E-6</v>
      </c>
    </row>
    <row r="69" spans="2:8" ht="15.6">
      <c r="B69" s="106">
        <f>B68+1</f>
        <v>30</v>
      </c>
      <c r="C69" s="105" t="s">
        <v>146</v>
      </c>
      <c r="D69" s="103" t="s">
        <v>128</v>
      </c>
      <c r="E69" s="107" cm="1">
        <f t="array" ref="E69">INDEX(SGRE!L91:O91,case_number)</f>
        <v>97.911398460104465</v>
      </c>
      <c r="F69" s="110" t="s">
        <v>86</v>
      </c>
      <c r="G69" s="104"/>
      <c r="H69" t="s">
        <v>307</v>
      </c>
    </row>
    <row r="70" spans="2:8" ht="15.6">
      <c r="B70" s="106">
        <f>B69+1</f>
        <v>31</v>
      </c>
      <c r="C70" s="103" t="s">
        <v>142</v>
      </c>
      <c r="D70" s="103" t="s">
        <v>128</v>
      </c>
      <c r="E70" s="107" cm="1">
        <f t="array" ref="E70">INDEX(SGRE!L92:O92,case_number)</f>
        <v>148.09719855410455</v>
      </c>
      <c r="F70" s="110" t="s">
        <v>86</v>
      </c>
      <c r="G70" s="104"/>
      <c r="H70" t="s">
        <v>307</v>
      </c>
    </row>
    <row r="71" spans="2:8" ht="15.6">
      <c r="B71" s="106"/>
      <c r="C71" s="105" t="s">
        <v>141</v>
      </c>
      <c r="D71" s="103" t="s">
        <v>128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140</v>
      </c>
      <c r="D72" s="103" t="s">
        <v>128</v>
      </c>
      <c r="E72" s="107" cm="1">
        <f t="array" ref="E72">INDEX(SGRE!L94:O94,case_number)</f>
        <v>367.16422952629608</v>
      </c>
      <c r="F72" s="107" cm="1">
        <f t="array" aca="1" ref="F72" ca="1">-INDIRECT(sheet_name&amp;"!DZ_gap_tot")</f>
        <v>250.3393512065656</v>
      </c>
      <c r="G72" s="107"/>
    </row>
    <row r="73" spans="2:8" ht="15.6">
      <c r="B73" s="106">
        <f>B72+1</f>
        <v>33</v>
      </c>
      <c r="C73" s="103" t="s">
        <v>139</v>
      </c>
      <c r="D73" s="103" t="s">
        <v>128</v>
      </c>
      <c r="E73" s="107" cm="1">
        <f t="array" ref="E73">INDEX(SGRE!L95:O95,case_number)</f>
        <v>1103.1006982045617</v>
      </c>
      <c r="F73" s="107" t="s">
        <v>86</v>
      </c>
      <c r="G73" s="118"/>
    </row>
    <row r="74" spans="2:8" ht="15.6">
      <c r="B74" s="106">
        <f>B73+1</f>
        <v>34</v>
      </c>
      <c r="C74" s="103" t="s">
        <v>138</v>
      </c>
      <c r="D74" s="103" t="s">
        <v>128</v>
      </c>
      <c r="E74" s="107" cm="1">
        <f t="array" ref="E74">INDEX(SGRE!L96:O96,case_number)</f>
        <v>717.20546202762773</v>
      </c>
      <c r="F74" s="108" cm="1">
        <f t="array" aca="1" ref="F74" ca="1">INDIRECT(sheet_name&amp;"!Z0")</f>
        <v>717.20125513582855</v>
      </c>
      <c r="G74" s="118">
        <f ca="1">(F74-E74)/E74</f>
        <v>-5.8656717243788727E-6</v>
      </c>
      <c r="H74" t="s">
        <v>308</v>
      </c>
    </row>
    <row r="75" spans="2:8" ht="15.6">
      <c r="B75" s="106">
        <f>B74+1</f>
        <v>35</v>
      </c>
      <c r="C75" s="103" t="s">
        <v>138</v>
      </c>
      <c r="D75" s="103" t="s">
        <v>128</v>
      </c>
      <c r="E75" s="107" cm="1">
        <f t="array" ref="E75">INDEX(SGRE!L97:O97,case_number)</f>
        <v>717.20546202762773</v>
      </c>
      <c r="F75" s="110" t="s">
        <v>86</v>
      </c>
      <c r="G75" s="104"/>
      <c r="H75" t="s">
        <v>307</v>
      </c>
    </row>
    <row r="76" spans="2:8" ht="15.6">
      <c r="B76" s="106">
        <f>B75+1</f>
        <v>36</v>
      </c>
      <c r="C76" s="105" t="s">
        <v>137</v>
      </c>
      <c r="D76" s="103" t="s">
        <v>123</v>
      </c>
      <c r="E76" s="107" cm="1">
        <f t="array" ref="E76">INDEX(SGRE!L98:O98,case_number)</f>
        <v>1.6140700265708123</v>
      </c>
      <c r="F76" s="109" cm="1">
        <f t="array" aca="1" ref="F76" ca="1">INDIRECT(sheet_name&amp;"!stiffness_correction_factor")</f>
        <v>1.2789206054824171</v>
      </c>
      <c r="G76" s="118">
        <f ca="1">(F76-E76)/E76</f>
        <v>-0.20764242912089759</v>
      </c>
    </row>
    <row r="77" spans="2:8">
      <c r="B77" s="106"/>
      <c r="C77" s="105" t="s">
        <v>273</v>
      </c>
      <c r="D77" s="103" t="s">
        <v>126</v>
      </c>
      <c r="E77" s="107" cm="1">
        <f t="array" ref="E77">INDEX(SGRE!L99:O99,case_number)</f>
        <v>99.70193352017607</v>
      </c>
      <c r="F77" s="107" t="s">
        <v>86</v>
      </c>
      <c r="G77" s="118"/>
    </row>
    <row r="78" spans="2:8" ht="15.6">
      <c r="B78" s="106">
        <f>B76+1</f>
        <v>37</v>
      </c>
      <c r="C78" s="103" t="s">
        <v>136</v>
      </c>
      <c r="D78" s="103" t="s">
        <v>135</v>
      </c>
      <c r="E78" s="107" cm="1">
        <f t="array" ref="E78">INDEX(SGRE!L100:O100,case_number)</f>
        <v>15422.901708608186</v>
      </c>
      <c r="F78" s="107" cm="1">
        <f t="array" aca="1" ref="F78" ca="1">INDIRECT(sheet_name&amp;"!k_seg")</f>
        <v>23151.127636464935</v>
      </c>
      <c r="G78" s="118">
        <f ca="1">(F78-E78)/E78</f>
        <v>0.50108767298590073</v>
      </c>
    </row>
    <row r="79" spans="2:8" ht="15.6">
      <c r="B79" s="106">
        <f>B78+1</f>
        <v>38</v>
      </c>
      <c r="C79" s="103" t="s">
        <v>134</v>
      </c>
      <c r="D79" s="103" t="s">
        <v>128</v>
      </c>
      <c r="E79" s="107" cm="1">
        <f t="array" ref="E79">INDEX(SGRE!L101:O101,case_number)</f>
        <v>350.04123250133165</v>
      </c>
      <c r="F79" s="111" cm="1">
        <f t="array" aca="1" ref="F79" ca="1">ROUND(INDIRECT(sheet_name&amp;"!Z_2_td"),0)</f>
        <v>467</v>
      </c>
      <c r="G79" s="118">
        <f ca="1">(F79-E79)/E79</f>
        <v>0.33412854440861739</v>
      </c>
    </row>
    <row r="80" spans="2:8">
      <c r="B80" s="106">
        <f>B79+1</f>
        <v>39</v>
      </c>
      <c r="C80" s="103" t="s">
        <v>1</v>
      </c>
      <c r="D80" s="103" t="s">
        <v>126</v>
      </c>
      <c r="E80" s="107" cm="1">
        <f t="array" ref="E80">INDEX(SGRE!L102:O102,case_number)</f>
        <v>0.22764050105793851</v>
      </c>
      <c r="F80" s="109" cm="1">
        <f t="array" aca="1" ref="F80" ca="1">INDIRECT(sheet_name&amp;"!u")</f>
        <v>0.31071721165861427</v>
      </c>
      <c r="G80" s="118">
        <f ca="1">(F80-E80)/E80</f>
        <v>0.36494696776094021</v>
      </c>
      <c r="H80" t="s">
        <v>308</v>
      </c>
    </row>
    <row r="81" spans="2:8">
      <c r="B81" s="106">
        <f>B80+1</f>
        <v>40</v>
      </c>
      <c r="C81" s="103" t="s">
        <v>1</v>
      </c>
      <c r="D81" s="103" t="s">
        <v>126</v>
      </c>
      <c r="E81" s="107" cm="1">
        <f t="array" ref="E81">INDEX(SGRE!L103:O103,case_number)</f>
        <v>0.22764050105793851</v>
      </c>
      <c r="F81" s="104"/>
      <c r="G81" s="104"/>
      <c r="H81" t="s">
        <v>307</v>
      </c>
    </row>
    <row r="82" spans="2:8" ht="15.6">
      <c r="B82" s="106"/>
      <c r="C82" s="103" t="s">
        <v>133</v>
      </c>
      <c r="D82" s="103" t="s">
        <v>128</v>
      </c>
      <c r="E82" s="107" cm="1">
        <f t="array" ref="E82">INDEX(SGRE!L104:O104,case_number)</f>
        <v>4340</v>
      </c>
      <c r="F82" s="110" t="s">
        <v>86</v>
      </c>
      <c r="G82" s="110"/>
    </row>
    <row r="83" spans="2:8" ht="15.6">
      <c r="B83" s="106">
        <f>B81+1</f>
        <v>41</v>
      </c>
      <c r="C83" s="105" t="s">
        <v>132</v>
      </c>
      <c r="D83" s="103" t="s">
        <v>128</v>
      </c>
      <c r="E83" s="107" cm="1">
        <f t="array" ref="E83">INDEX(SGRE!L105:O105,case_number)</f>
        <v>-30.138888888888889</v>
      </c>
      <c r="F83" s="107" cm="1">
        <f t="array" aca="1" ref="F83" ca="1">INDIRECT(sheet_name&amp;"!Z_dw")</f>
        <v>-30.138999999999999</v>
      </c>
      <c r="G83" s="118">
        <f ca="1">(F83-E83)/E83</f>
        <v>3.6866359446656738E-6</v>
      </c>
    </row>
    <row r="84" spans="2:8">
      <c r="B84" s="106">
        <f t="shared" ref="B84:B91" si="6">B83+1</f>
        <v>42</v>
      </c>
      <c r="D84" s="103"/>
      <c r="E84" s="110"/>
      <c r="F84" s="104"/>
      <c r="G84" s="104"/>
    </row>
    <row r="85" spans="2:8" ht="15.6">
      <c r="B85" s="106">
        <f t="shared" si="6"/>
        <v>43</v>
      </c>
      <c r="C85" s="103" t="s">
        <v>131</v>
      </c>
      <c r="D85" s="103" t="s">
        <v>128</v>
      </c>
      <c r="E85" s="107" cm="1">
        <f t="array" ref="E85">INDEX(SGRE!L107:O107,case_number)</f>
        <v>-397.303118415185</v>
      </c>
      <c r="F85" s="107" cm="1">
        <f t="array" aca="1" ref="F85" ca="1">INDIRECT(sheet_name&amp;"!point4.Z")</f>
        <v>-280.47835120656561</v>
      </c>
      <c r="G85" s="118">
        <f ca="1">(F85-E85)/E85</f>
        <v>-0.29404442551225224</v>
      </c>
    </row>
    <row r="86" spans="2:8" ht="15.6">
      <c r="B86" s="106">
        <f t="shared" si="6"/>
        <v>44</v>
      </c>
      <c r="C86" s="105" t="s">
        <v>130</v>
      </c>
      <c r="D86" s="103" t="s">
        <v>123</v>
      </c>
      <c r="E86" s="107" cm="1">
        <f t="array" ref="E86">INDEX(SGRE!L108:O108,case_number)</f>
        <v>6.7136936231689967E-2</v>
      </c>
      <c r="F86" s="113" cm="1">
        <f t="array" aca="1" ref="F86" ca="1">INDIRECT(sheet_name&amp;"!true_force_initial_slope")</f>
        <v>3.6390525144372701E-2</v>
      </c>
      <c r="G86" s="118">
        <f ca="1">(F86-E86)/E86</f>
        <v>-0.45796565665748012</v>
      </c>
    </row>
    <row r="87" spans="2:8" ht="15.6">
      <c r="B87" s="106">
        <f t="shared" si="6"/>
        <v>45</v>
      </c>
      <c r="C87" s="103" t="s">
        <v>129</v>
      </c>
      <c r="D87" s="103" t="s">
        <v>128</v>
      </c>
      <c r="E87" s="107" cm="1">
        <f t="array" ref="E87">INDEX(SGRE!L109:O109,case_number)</f>
        <v>796.67399742767748</v>
      </c>
      <c r="F87" s="108" cm="1">
        <f t="array" aca="1" ref="F87" ca="1">INDIRECT(sheet_name&amp;"!point4.Fs")</f>
        <v>804.44500977264568</v>
      </c>
      <c r="G87" s="118">
        <f ca="1">(F87-E87)/E87</f>
        <v>9.7543190439997457E-3</v>
      </c>
    </row>
    <row r="88" spans="2:8" ht="15.6">
      <c r="B88" s="106">
        <f t="shared" si="6"/>
        <v>46</v>
      </c>
      <c r="C88" s="105" t="s">
        <v>127</v>
      </c>
      <c r="D88" s="103" t="s">
        <v>123</v>
      </c>
      <c r="E88" s="107" cm="1">
        <f t="array" ref="E88">INDEX(SGRE!L110:O110,case_number)</f>
        <v>0.13023562713515596</v>
      </c>
      <c r="F88" s="110" cm="1">
        <f t="array" aca="1" ref="F88" ca="1">INDIRECT(sheet_name&amp;"!polynomial_initial_slope")</f>
        <v>8.8796847916087593E-2</v>
      </c>
      <c r="G88" s="104"/>
      <c r="H88" t="s">
        <v>308</v>
      </c>
    </row>
    <row r="89" spans="2:8" ht="15.6">
      <c r="B89" s="106">
        <f t="shared" si="6"/>
        <v>47</v>
      </c>
      <c r="C89" s="105" t="s">
        <v>127</v>
      </c>
      <c r="D89" s="103" t="s">
        <v>123</v>
      </c>
      <c r="E89" s="107" cm="1">
        <f t="array" ref="E89">INDEX(SGRE!L111:O111,case_number)</f>
        <v>0.13023562713515596</v>
      </c>
      <c r="F89" s="104"/>
      <c r="G89" s="104"/>
      <c r="H89" t="s">
        <v>307</v>
      </c>
    </row>
    <row r="90" spans="2:8" ht="15.6">
      <c r="B90" s="106">
        <f t="shared" si="6"/>
        <v>48</v>
      </c>
      <c r="C90" s="105" t="s">
        <v>125</v>
      </c>
      <c r="D90" s="103" t="s">
        <v>121</v>
      </c>
      <c r="E90" s="128"/>
      <c r="F90" s="128"/>
      <c r="G90" s="128"/>
      <c r="H90" t="s">
        <v>272</v>
      </c>
    </row>
    <row r="91" spans="2:8">
      <c r="B91" s="106">
        <f t="shared" si="6"/>
        <v>49</v>
      </c>
      <c r="C91" s="105" t="s">
        <v>2</v>
      </c>
      <c r="D91" s="103" t="s">
        <v>126</v>
      </c>
      <c r="E91" s="107" cm="1">
        <f t="array" ref="E91">INDEX(SGRE!L113:O113,case_number)</f>
        <v>74.341986610976164</v>
      </c>
      <c r="F91" s="107" cm="1">
        <f t="array" aca="1" ref="F91" ca="1">INDIRECT(sheet_name&amp;"!a_star")</f>
        <v>59.473589288780907</v>
      </c>
      <c r="G91" s="118">
        <f ca="1">(F91-E91)/E91</f>
        <v>-0.20000000000000032</v>
      </c>
    </row>
    <row r="92" spans="2:8" ht="15.6">
      <c r="B92" s="106"/>
      <c r="C92" s="105" t="s">
        <v>270</v>
      </c>
      <c r="D92" s="103" t="s">
        <v>269</v>
      </c>
      <c r="E92" s="107" cm="1">
        <f t="array" ref="E92">INDEX(SGRE!L114:O114,case_number)</f>
        <v>6.7808046075429031E-9</v>
      </c>
      <c r="F92" s="114" cm="1">
        <f t="array" aca="1" ref="F92" ca="1">1/(INDIRECT(sheet_name&amp;"!bolt.bending_stiffness")*1000000)</f>
        <v>6.7808295166753009E-9</v>
      </c>
      <c r="G92" s="118">
        <f ca="1">(F92-E92)/E92</f>
        <v>3.6734773879451269E-6</v>
      </c>
      <c r="H92" t="s">
        <v>271</v>
      </c>
    </row>
    <row r="93" spans="2:8" ht="15.6">
      <c r="B93" s="106">
        <f>B91+1</f>
        <v>50</v>
      </c>
      <c r="C93" s="105" t="s">
        <v>125</v>
      </c>
      <c r="D93" s="103" t="s">
        <v>121</v>
      </c>
      <c r="E93" s="128"/>
      <c r="F93" s="128"/>
      <c r="G93" s="128"/>
      <c r="H93" t="s">
        <v>268</v>
      </c>
    </row>
    <row r="94" spans="2:8" ht="15.6">
      <c r="B94" s="106">
        <f>B93+1</f>
        <v>51</v>
      </c>
      <c r="C94" s="105" t="s">
        <v>267</v>
      </c>
      <c r="D94" s="103" t="s">
        <v>123</v>
      </c>
      <c r="E94" s="128"/>
      <c r="F94" s="128"/>
      <c r="G94" s="128"/>
      <c r="H94" t="s">
        <v>266</v>
      </c>
    </row>
    <row r="95" spans="2:8" ht="15.6">
      <c r="B95" s="106">
        <f>B94+1</f>
        <v>52</v>
      </c>
      <c r="C95" s="105" t="s">
        <v>265</v>
      </c>
      <c r="D95" s="103" t="s">
        <v>123</v>
      </c>
      <c r="E95" s="128"/>
      <c r="F95" s="128"/>
      <c r="G95" s="128"/>
      <c r="H95" t="s">
        <v>266</v>
      </c>
    </row>
    <row r="96" spans="2:8" ht="15.6">
      <c r="B96" s="106">
        <f>B95+1</f>
        <v>53</v>
      </c>
      <c r="C96" s="105" t="s">
        <v>124</v>
      </c>
      <c r="D96" s="103" t="s">
        <v>123</v>
      </c>
      <c r="E96" s="107" cm="1">
        <f t="array" ref="E96">INDEX(SGRE!L118:O118,case_number)</f>
        <v>0.22881533152730013</v>
      </c>
      <c r="F96" s="113" cm="1">
        <f t="array" aca="1" ref="F96" ca="1">INDIRECT(sheet_name&amp;"!true_moment_initial_slope")</f>
        <v>0.19033608260603849</v>
      </c>
      <c r="G96" s="118">
        <f ca="1">(F96-E96)/E96</f>
        <v>-0.16816726687158484</v>
      </c>
      <c r="H96" t="s">
        <v>308</v>
      </c>
    </row>
    <row r="97" spans="2:21" ht="15.6">
      <c r="C97" s="105" t="s">
        <v>124</v>
      </c>
      <c r="D97" s="103" t="s">
        <v>123</v>
      </c>
      <c r="E97" s="107" cm="1">
        <f t="array" ref="E97">INDEX(SGRE!L119:O119,case_number)</f>
        <v>0.15821187587621519</v>
      </c>
      <c r="F97" s="109" t="s">
        <v>86</v>
      </c>
      <c r="G97" s="109" t="s">
        <v>86</v>
      </c>
      <c r="H97" t="s">
        <v>307</v>
      </c>
    </row>
    <row r="98" spans="2:21" ht="15.6">
      <c r="B98" s="106">
        <f>B96+1</f>
        <v>54</v>
      </c>
      <c r="C98" s="105" t="s">
        <v>122</v>
      </c>
      <c r="D98" s="103" t="s">
        <v>121</v>
      </c>
      <c r="E98" s="107" cm="1">
        <f t="array" ref="E98">INDEX(SGRE!L120:O120,case_number)</f>
        <v>-45.210346008284084</v>
      </c>
      <c r="F98" s="108" cm="1">
        <f t="array" aca="1" ref="F98" ca="1">INDIRECT(sheet_name&amp;"!point4.Ms")</f>
        <v>-27.05915191734735</v>
      </c>
      <c r="G98" s="118">
        <f ca="1">(F98-E98)/E98</f>
        <v>-0.40148319341795824</v>
      </c>
      <c r="H98" t="s">
        <v>308</v>
      </c>
    </row>
    <row r="99" spans="2:21" ht="15.6">
      <c r="C99" s="105" t="s">
        <v>122</v>
      </c>
      <c r="D99" s="103" t="s">
        <v>121</v>
      </c>
      <c r="E99" s="107" cm="1">
        <f t="array" ref="E99">INDEX(SGRE!L121:O121,case_number)</f>
        <v>-33.319505980114876</v>
      </c>
      <c r="F99" s="109" t="s">
        <v>86</v>
      </c>
      <c r="G99" s="109" t="s">
        <v>86</v>
      </c>
      <c r="H99" t="s">
        <v>307</v>
      </c>
    </row>
    <row r="100" spans="2:21" ht="15.6">
      <c r="C100" s="105" t="s">
        <v>357</v>
      </c>
      <c r="D100" s="103" t="s">
        <v>128</v>
      </c>
      <c r="E100" s="107" cm="1">
        <f t="array" ref="E100">INDEX(SGRE!L122:O122,case_number)</f>
        <v>-30.038888888888888</v>
      </c>
      <c r="F100" s="109" t="s">
        <v>86</v>
      </c>
      <c r="G100" s="109" t="s">
        <v>86</v>
      </c>
      <c r="H100" s="142" t="s">
        <v>340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355</v>
      </c>
      <c r="D101" s="103" t="s">
        <v>121</v>
      </c>
      <c r="E101" s="107" cm="1">
        <f t="array" ref="E101">INDEX(SGRE!L123:O123,case_number)</f>
        <v>0</v>
      </c>
      <c r="F101" s="109" t="s">
        <v>86</v>
      </c>
      <c r="G101" s="109" t="s">
        <v>86</v>
      </c>
      <c r="H101" s="142" t="s">
        <v>340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354</v>
      </c>
      <c r="D102" s="103" t="s">
        <v>121</v>
      </c>
      <c r="E102" s="107" cm="1">
        <f t="array" ref="E102">INDEX(SGRE!L124:O124,case_number)</f>
        <v>-12.975440564878406</v>
      </c>
      <c r="F102" s="109" t="s">
        <v>86</v>
      </c>
      <c r="G102" s="109" t="s">
        <v>86</v>
      </c>
      <c r="H102" s="142" t="s">
        <v>340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353</v>
      </c>
      <c r="D103" s="103" t="s">
        <v>121</v>
      </c>
      <c r="E103" s="107" cm="1">
        <f t="array" ref="E103">INDEX(SGRE!L125:O125,case_number)</f>
        <v>-4.2746352261146034</v>
      </c>
      <c r="F103" s="109" t="s">
        <v>86</v>
      </c>
      <c r="G103" s="109" t="s">
        <v>86</v>
      </c>
      <c r="H103" s="142" t="s">
        <v>341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355</v>
      </c>
      <c r="D104" s="103" t="s">
        <v>121</v>
      </c>
      <c r="E104" s="107" cm="1">
        <f t="array" ref="E104">INDEX(SGRE!L126:O126,case_number)</f>
        <v>4.1738389339481133E-3</v>
      </c>
      <c r="F104" s="109" t="s">
        <v>86</v>
      </c>
      <c r="G104" s="109" t="s">
        <v>86</v>
      </c>
      <c r="H104" s="142" t="s">
        <v>341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354</v>
      </c>
      <c r="D105" s="103" t="s">
        <v>121</v>
      </c>
      <c r="E105" s="107" cm="1">
        <f t="array" ref="E105">INDEX(SGRE!L127:O127,case_number)</f>
        <v>-12.932388411852086</v>
      </c>
      <c r="F105" s="109" t="s">
        <v>86</v>
      </c>
      <c r="G105" s="109" t="s">
        <v>86</v>
      </c>
      <c r="H105" s="142" t="s">
        <v>341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353</v>
      </c>
      <c r="D106" s="103" t="s">
        <v>121</v>
      </c>
      <c r="E106" s="107" cm="1">
        <f t="array" ref="E106">INDEX(SGRE!L128:O128,case_number)</f>
        <v>-4.2588140385269817</v>
      </c>
      <c r="F106" s="109" t="s">
        <v>86</v>
      </c>
      <c r="G106" s="109" t="s">
        <v>86</v>
      </c>
    </row>
    <row r="107" spans="2:21" ht="16.2">
      <c r="C107" s="147" t="s">
        <v>351</v>
      </c>
      <c r="D107" s="103" t="s">
        <v>121</v>
      </c>
      <c r="E107" s="107" cm="1">
        <f t="array" ref="E107">INDEX(SGRE!L129:O129,case_number)</f>
        <v>-3.203943556271498</v>
      </c>
      <c r="F107" s="109" t="s">
        <v>86</v>
      </c>
      <c r="G107" s="109" t="s">
        <v>86</v>
      </c>
    </row>
    <row r="108" spans="2:21" ht="16.2">
      <c r="C108" s="147" t="s">
        <v>350</v>
      </c>
      <c r="D108" s="103" t="s">
        <v>121</v>
      </c>
      <c r="E108" s="107" cm="1">
        <f t="array" ref="E108">INDEX(SGRE!L130:O130,case_number)</f>
        <v>596.72919709875691</v>
      </c>
      <c r="F108" s="109" t="s">
        <v>86</v>
      </c>
      <c r="G108" s="109" t="s">
        <v>86</v>
      </c>
    </row>
    <row r="109" spans="2:21" ht="16.2">
      <c r="C109" s="147" t="s">
        <v>349</v>
      </c>
      <c r="D109" s="103" t="s">
        <v>121</v>
      </c>
      <c r="E109" s="107" cm="1">
        <f t="array" ref="E109">INDEX(SGRE!L131:O131,case_number)</f>
        <v>27.071008377471777</v>
      </c>
      <c r="F109" s="109" t="s">
        <v>86</v>
      </c>
      <c r="G109" s="109" t="s">
        <v>86</v>
      </c>
      <c r="H109" t="s">
        <v>342</v>
      </c>
    </row>
    <row r="110" spans="2:21" ht="15.6">
      <c r="C110" s="112" t="s">
        <v>348</v>
      </c>
      <c r="E110" s="107" cm="1">
        <f t="array" ref="E110">INDEX(SGRE!L132:O132,case_number)</f>
        <v>1.3096071787847329E-3</v>
      </c>
      <c r="F110" s="109" t="s">
        <v>86</v>
      </c>
      <c r="G110" s="109" t="s">
        <v>86</v>
      </c>
      <c r="H110" t="s">
        <v>343</v>
      </c>
    </row>
    <row r="111" spans="2:21" ht="15.6">
      <c r="C111" s="112" t="s">
        <v>347</v>
      </c>
      <c r="E111" s="107" cm="1">
        <f t="array" ref="E111">INDEX(SGRE!L133:O133,case_number)</f>
        <v>0.30762458130894782</v>
      </c>
      <c r="F111" s="109" t="s">
        <v>86</v>
      </c>
      <c r="G111" s="109" t="s">
        <v>86</v>
      </c>
      <c r="H111" t="s">
        <v>344</v>
      </c>
    </row>
    <row r="112" spans="2:21" ht="15.6">
      <c r="C112" s="112" t="s">
        <v>346</v>
      </c>
      <c r="E112" s="107" cm="1">
        <f t="array" ref="E112">INDEX(SGRE!L134:O134,case_number)</f>
        <v>4.8779344027428806</v>
      </c>
      <c r="F112" s="109" t="s">
        <v>86</v>
      </c>
      <c r="G112" s="109" t="s">
        <v>86</v>
      </c>
    </row>
    <row r="113" spans="3:8">
      <c r="C113" s="112"/>
    </row>
    <row r="114" spans="3:8">
      <c r="C114" s="103" t="s">
        <v>93</v>
      </c>
      <c r="D114" s="146"/>
      <c r="E114" s="107" cm="1">
        <f t="array" ref="E114">INDEX(SGRE!L136:O136,case_number)</f>
        <v>1.6561002853128552</v>
      </c>
      <c r="F114" s="109" t="s">
        <v>86</v>
      </c>
      <c r="G114" s="109" t="s">
        <v>86</v>
      </c>
      <c r="H114" t="s">
        <v>345</v>
      </c>
    </row>
  </sheetData>
  <conditionalFormatting sqref="G2">
    <cfRule type="cellIs" dxfId="28" priority="1" operator="notBetween">
      <formula>-0.001</formula>
      <formula>0.001</formula>
    </cfRule>
  </conditionalFormatting>
  <conditionalFormatting sqref="G7:G9">
    <cfRule type="cellIs" dxfId="27" priority="19" operator="notBetween">
      <formula>-0.001</formula>
      <formula>0.001</formula>
    </cfRule>
  </conditionalFormatting>
  <conditionalFormatting sqref="G14:G16">
    <cfRule type="cellIs" dxfId="26" priority="18" operator="notBetween">
      <formula>-0.001</formula>
      <formula>0.001</formula>
    </cfRule>
  </conditionalFormatting>
  <conditionalFormatting sqref="G26:G31">
    <cfRule type="cellIs" dxfId="25" priority="17" operator="notBetween">
      <formula>-0.001</formula>
      <formula>0.001</formula>
    </cfRule>
  </conditionalFormatting>
  <conditionalFormatting sqref="G38:G39">
    <cfRule type="cellIs" dxfId="24" priority="16" operator="notBetween">
      <formula>-0.001</formula>
      <formula>0.001</formula>
    </cfRule>
  </conditionalFormatting>
  <conditionalFormatting sqref="G45:G50">
    <cfRule type="cellIs" dxfId="23" priority="5" operator="notBetween">
      <formula>-0.001</formula>
      <formula>0.001</formula>
    </cfRule>
  </conditionalFormatting>
  <conditionalFormatting sqref="G54:G57">
    <cfRule type="cellIs" dxfId="22" priority="4" operator="notBetween">
      <formula>-0.001</formula>
      <formula>0.001</formula>
    </cfRule>
  </conditionalFormatting>
  <conditionalFormatting sqref="G59:G63">
    <cfRule type="cellIs" dxfId="21" priority="14" operator="notBetween">
      <formula>-0.001</formula>
      <formula>0.001</formula>
    </cfRule>
  </conditionalFormatting>
  <conditionalFormatting sqref="G65:G68">
    <cfRule type="cellIs" dxfId="20" priority="13" operator="notBetween">
      <formula>-0.001</formula>
      <formula>0.001</formula>
    </cfRule>
  </conditionalFormatting>
  <conditionalFormatting sqref="G71">
    <cfRule type="cellIs" dxfId="19" priority="2" operator="notBetween">
      <formula>-0.001</formula>
      <formula>0.001</formula>
    </cfRule>
  </conditionalFormatting>
  <conditionalFormatting sqref="G73:G74">
    <cfRule type="cellIs" dxfId="18" priority="12" operator="notBetween">
      <formula>-0.001</formula>
      <formula>0.001</formula>
    </cfRule>
  </conditionalFormatting>
  <conditionalFormatting sqref="G76:G80">
    <cfRule type="cellIs" dxfId="17" priority="11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disablePrompts="1"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1"/>
  <sheetViews>
    <sheetView showGridLines="0" zoomScaleNormal="100" workbookViewId="0">
      <pane ySplit="1" topLeftCell="A123" activePane="bottomLeft" state="frozen"/>
      <selection pane="bottomLeft" activeCell="R142" sqref="R14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">
        <v>102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">
        <v>104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">
        <v>103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80" t="s">
        <v>326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405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-294.50226876689396</v>
      </c>
      <c r="P66" s="71">
        <v>-285.19483903902244</v>
      </c>
      <c r="Q66" s="71">
        <v>-275.88740931115103</v>
      </c>
      <c r="R66" s="71">
        <v>-266.57997958327951</v>
      </c>
      <c r="S66" s="71">
        <v>-257.2725498554081</v>
      </c>
      <c r="T66" s="71">
        <v>-247.96512012753661</v>
      </c>
      <c r="U66" s="71">
        <v>-238.65769039966514</v>
      </c>
      <c r="V66" s="71">
        <v>-229.35026067179365</v>
      </c>
      <c r="W66" s="71">
        <v>-220.04283094392221</v>
      </c>
      <c r="X66" s="71">
        <v>-210.73540121605072</v>
      </c>
      <c r="Y66" s="71">
        <v>-201.42797148817928</v>
      </c>
      <c r="Z66" s="71">
        <v>-192.12054176030779</v>
      </c>
      <c r="AA66" s="71">
        <v>-182.81311203243632</v>
      </c>
      <c r="AB66" s="71">
        <v>-173.50568230456486</v>
      </c>
      <c r="AC66" s="71">
        <v>-164.19825257669339</v>
      </c>
      <c r="AD66" s="71">
        <v>-154.89082284882193</v>
      </c>
      <c r="AE66" s="71">
        <v>-145.58339312095046</v>
      </c>
      <c r="AF66" s="71">
        <v>-136.275963393079</v>
      </c>
      <c r="AG66" s="71">
        <v>-126.96853366520753</v>
      </c>
      <c r="AH66" s="71">
        <v>-117.66110393733607</v>
      </c>
      <c r="AI66" s="71">
        <v>-108.3536742094646</v>
      </c>
      <c r="AJ66" s="71">
        <v>-99.046244481593135</v>
      </c>
      <c r="AK66" s="71">
        <v>-89.73881475372167</v>
      </c>
      <c r="AL66" s="71">
        <v>-80.431385025850204</v>
      </c>
      <c r="AM66" s="71">
        <v>-71.123955297978711</v>
      </c>
      <c r="AN66" s="71">
        <v>-61.816525570107245</v>
      </c>
      <c r="AO66" s="71">
        <v>-52.50909584223578</v>
      </c>
      <c r="AP66" s="71">
        <v>-43.201666114364315</v>
      </c>
      <c r="AQ66" s="71">
        <v>-33.89423638649285</v>
      </c>
      <c r="AR66" s="71">
        <v>-24.586806658621413</v>
      </c>
      <c r="AS66" s="71">
        <v>-15.279376930749917</v>
      </c>
      <c r="AT66" s="71">
        <v>-5.9719472028784804</v>
      </c>
      <c r="AU66" s="71">
        <v>3.3354825249930147</v>
      </c>
      <c r="AV66" s="71">
        <v>12.642912252864509</v>
      </c>
      <c r="AW66" s="71">
        <v>21.950341980735946</v>
      </c>
      <c r="AX66" s="71">
        <v>31.257771708607439</v>
      </c>
      <c r="AY66" s="71">
        <v>40.56520143647888</v>
      </c>
      <c r="AZ66" s="71">
        <v>49.872631164350373</v>
      </c>
      <c r="BA66" s="71">
        <v>59.18006089222181</v>
      </c>
      <c r="BB66" s="71">
        <v>68.487490620093297</v>
      </c>
      <c r="BC66" s="71">
        <v>77.794920347964734</v>
      </c>
      <c r="BD66" s="71">
        <v>87.102350075836242</v>
      </c>
      <c r="BE66" s="71">
        <v>96.409779803707679</v>
      </c>
      <c r="BF66" s="71">
        <v>105.71720953157917</v>
      </c>
      <c r="BG66" s="71">
        <v>115.02463925945061</v>
      </c>
      <c r="BH66" s="71">
        <v>124.3320689873221</v>
      </c>
      <c r="BI66" s="71">
        <v>133.63949871519353</v>
      </c>
      <c r="BJ66" s="71">
        <v>142.94692844306502</v>
      </c>
      <c r="BK66" s="71">
        <v>152.25435817093651</v>
      </c>
      <c r="BL66" s="71">
        <v>161.56178789880795</v>
      </c>
      <c r="BM66" s="71">
        <v>170.86921762667944</v>
      </c>
      <c r="BN66" s="71">
        <v>180.17664735455088</v>
      </c>
      <c r="BO66" s="71">
        <v>189.48407708242237</v>
      </c>
      <c r="BP66" s="71">
        <v>198.79150681029381</v>
      </c>
      <c r="BQ66" s="71">
        <v>208.09893653816533</v>
      </c>
      <c r="BR66" s="71">
        <v>217.40636626603674</v>
      </c>
      <c r="BS66" s="71">
        <v>226.71379599390826</v>
      </c>
      <c r="BT66" s="71">
        <v>236.0212257217797</v>
      </c>
      <c r="BU66" s="71">
        <v>245.32865544965114</v>
      </c>
      <c r="BV66" s="71">
        <v>254.63608517752269</v>
      </c>
      <c r="BW66" s="71">
        <v>263.94351490539412</v>
      </c>
      <c r="BX66" s="71">
        <v>273.25094463326553</v>
      </c>
      <c r="BY66" s="71">
        <v>282.558374361137</v>
      </c>
      <c r="BZ66" s="71">
        <v>291.86580408900852</v>
      </c>
      <c r="CA66" s="71">
        <v>301.17323381687999</v>
      </c>
      <c r="CB66" s="71">
        <v>310.48066354475139</v>
      </c>
      <c r="CC66" s="71">
        <v>319.78809327262297</v>
      </c>
      <c r="CD66" s="71">
        <v>329.09552300049438</v>
      </c>
      <c r="CE66" s="71">
        <v>338.40295272836585</v>
      </c>
      <c r="CF66" s="71">
        <v>347.71038245623726</v>
      </c>
      <c r="CG66" s="71">
        <v>357.01781218410883</v>
      </c>
      <c r="CH66" s="71">
        <v>366.32524191198024</v>
      </c>
      <c r="CI66" s="71">
        <v>375.63267163985171</v>
      </c>
      <c r="CJ66" s="71">
        <v>384.94010136772312</v>
      </c>
      <c r="CK66" s="71">
        <v>394.2475310955947</v>
      </c>
      <c r="CL66" s="71">
        <v>403.5549608234661</v>
      </c>
      <c r="CM66" s="71">
        <v>412.86239055133757</v>
      </c>
      <c r="CN66" s="71">
        <v>422.16982027920898</v>
      </c>
      <c r="CO66" s="71">
        <v>431.47725000708056</v>
      </c>
      <c r="CP66" s="71">
        <v>440.78467973495196</v>
      </c>
      <c r="CQ66" s="71">
        <v>450.09210946282343</v>
      </c>
      <c r="CR66" s="71">
        <v>459.39953919069501</v>
      </c>
      <c r="CS66" s="71">
        <v>468.70696891856642</v>
      </c>
      <c r="CT66" s="71">
        <v>478.01439864643783</v>
      </c>
      <c r="CU66" s="71">
        <v>487.32182837430929</v>
      </c>
      <c r="CV66" s="71">
        <v>496.62925810218087</v>
      </c>
      <c r="CW66" s="71">
        <v>505.93668783005228</v>
      </c>
      <c r="CX66" s="71">
        <v>515.24411755792369</v>
      </c>
      <c r="CY66" s="71">
        <v>524.55154728579521</v>
      </c>
      <c r="CZ66" s="71">
        <v>533.85897701366662</v>
      </c>
      <c r="DA66" s="71">
        <v>543.16640674153814</v>
      </c>
      <c r="DB66" s="71">
        <v>552.47383646940955</v>
      </c>
      <c r="DC66" s="71">
        <v>561.78126619728096</v>
      </c>
      <c r="DD66" s="71">
        <v>571.08869592515259</v>
      </c>
      <c r="DE66" s="71">
        <v>580.39612565302411</v>
      </c>
      <c r="DF66" s="71">
        <v>589.70355538089552</v>
      </c>
      <c r="DG66" s="71">
        <v>599.01098510876693</v>
      </c>
      <c r="DH66" s="71">
        <v>608.31841483663834</v>
      </c>
      <c r="DI66" s="71">
        <v>617.62584456450986</v>
      </c>
      <c r="DJ66" s="71">
        <v>626.93327429238138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804.44500977264568</v>
      </c>
      <c r="P67" s="71">
        <v>804.44500977264568</v>
      </c>
      <c r="Q67" s="71">
        <v>804.44654168104466</v>
      </c>
      <c r="R67" s="71">
        <v>804.45904944732672</v>
      </c>
      <c r="S67" s="71">
        <v>804.48414990999038</v>
      </c>
      <c r="T67" s="71">
        <v>804.52184306903575</v>
      </c>
      <c r="U67" s="71">
        <v>804.57212892446285</v>
      </c>
      <c r="V67" s="71">
        <v>804.63500747627154</v>
      </c>
      <c r="W67" s="71">
        <v>804.71047872446184</v>
      </c>
      <c r="X67" s="71">
        <v>804.79854266903396</v>
      </c>
      <c r="Y67" s="71">
        <v>804.89919930998758</v>
      </c>
      <c r="Z67" s="71">
        <v>805.01244864732291</v>
      </c>
      <c r="AA67" s="71">
        <v>805.13829068103996</v>
      </c>
      <c r="AB67" s="71">
        <v>805.2767254111385</v>
      </c>
      <c r="AC67" s="71">
        <v>805.42775283761887</v>
      </c>
      <c r="AD67" s="71">
        <v>805.59137296048073</v>
      </c>
      <c r="AE67" s="71">
        <v>805.76758577972441</v>
      </c>
      <c r="AF67" s="71">
        <v>805.9563912953497</v>
      </c>
      <c r="AG67" s="71">
        <v>806.1577895073566</v>
      </c>
      <c r="AH67" s="71">
        <v>806.37178041574509</v>
      </c>
      <c r="AI67" s="71">
        <v>806.59836402051531</v>
      </c>
      <c r="AJ67" s="71">
        <v>806.83754032166723</v>
      </c>
      <c r="AK67" s="71">
        <v>807.08930931920077</v>
      </c>
      <c r="AL67" s="71">
        <v>807.3536710131159</v>
      </c>
      <c r="AM67" s="71">
        <v>807.63062540341286</v>
      </c>
      <c r="AN67" s="71">
        <v>807.92017249009132</v>
      </c>
      <c r="AO67" s="71">
        <v>808.22231227315149</v>
      </c>
      <c r="AP67" s="71">
        <v>808.53704475259326</v>
      </c>
      <c r="AQ67" s="71">
        <v>808.86436992841675</v>
      </c>
      <c r="AR67" s="71">
        <v>809.22330377035235</v>
      </c>
      <c r="AS67" s="71">
        <v>809.69300708613662</v>
      </c>
      <c r="AT67" s="71">
        <v>810.2821787665149</v>
      </c>
      <c r="AU67" s="71">
        <v>810.99081881148709</v>
      </c>
      <c r="AV67" s="71">
        <v>811.81892722105329</v>
      </c>
      <c r="AW67" s="71">
        <v>812.76650399521338</v>
      </c>
      <c r="AX67" s="71">
        <v>813.83354913396761</v>
      </c>
      <c r="AY67" s="71">
        <v>815.02006263731585</v>
      </c>
      <c r="AZ67" s="71">
        <v>816.32604450525798</v>
      </c>
      <c r="BA67" s="71">
        <v>817.75149473779413</v>
      </c>
      <c r="BB67" s="71">
        <v>819.2964133349243</v>
      </c>
      <c r="BC67" s="71">
        <v>820.96080029664836</v>
      </c>
      <c r="BD67" s="71">
        <v>822.74465562296655</v>
      </c>
      <c r="BE67" s="71">
        <v>824.64797931387852</v>
      </c>
      <c r="BF67" s="71">
        <v>826.67077136938474</v>
      </c>
      <c r="BG67" s="71">
        <v>828.81303178948474</v>
      </c>
      <c r="BH67" s="71">
        <v>831.07476057417887</v>
      </c>
      <c r="BI67" s="71">
        <v>833.4559577234669</v>
      </c>
      <c r="BJ67" s="71">
        <v>835.95662323734894</v>
      </c>
      <c r="BK67" s="71">
        <v>838.57675711582499</v>
      </c>
      <c r="BL67" s="71">
        <v>841.31635935889494</v>
      </c>
      <c r="BM67" s="71">
        <v>844.17542996655891</v>
      </c>
      <c r="BN67" s="71">
        <v>847.15396893881689</v>
      </c>
      <c r="BO67" s="71">
        <v>850.25197627566899</v>
      </c>
      <c r="BP67" s="71">
        <v>853.46945197711489</v>
      </c>
      <c r="BQ67" s="71">
        <v>856.8063960431549</v>
      </c>
      <c r="BR67" s="71">
        <v>860.26280847378882</v>
      </c>
      <c r="BS67" s="71">
        <v>863.83868926901675</v>
      </c>
      <c r="BT67" s="71">
        <v>867.53403842883858</v>
      </c>
      <c r="BU67" s="71">
        <v>871.34885595325454</v>
      </c>
      <c r="BV67" s="71">
        <v>875.2831418422644</v>
      </c>
      <c r="BW67" s="71">
        <v>879.33689609586816</v>
      </c>
      <c r="BX67" s="71">
        <v>883.51011871406615</v>
      </c>
      <c r="BY67" s="71">
        <v>887.80280969685793</v>
      </c>
      <c r="BZ67" s="71">
        <v>892.21496904424384</v>
      </c>
      <c r="CA67" s="71">
        <v>896.74659675622354</v>
      </c>
      <c r="CB67" s="71">
        <v>901.39769283279736</v>
      </c>
      <c r="CC67" s="71">
        <v>906.16825727396531</v>
      </c>
      <c r="CD67" s="71">
        <v>911.05829007972693</v>
      </c>
      <c r="CE67" s="71">
        <v>916.06779125008279</v>
      </c>
      <c r="CF67" s="71">
        <v>921.19676078503255</v>
      </c>
      <c r="CG67" s="71">
        <v>926.44519868457633</v>
      </c>
      <c r="CH67" s="71">
        <v>931.813104948714</v>
      </c>
      <c r="CI67" s="71">
        <v>937.30047957744569</v>
      </c>
      <c r="CJ67" s="71">
        <v>942.9073225707715</v>
      </c>
      <c r="CK67" s="71">
        <v>948.6336339286911</v>
      </c>
      <c r="CL67" s="71">
        <v>954.47941365120482</v>
      </c>
      <c r="CM67" s="71">
        <v>960.44466173831245</v>
      </c>
      <c r="CN67" s="71">
        <v>966.52937819001409</v>
      </c>
      <c r="CO67" s="71">
        <v>972.73356300630974</v>
      </c>
      <c r="CP67" s="71">
        <v>979.0572161871994</v>
      </c>
      <c r="CQ67" s="71">
        <v>985.50033773268296</v>
      </c>
      <c r="CR67" s="71">
        <v>992.06292764276054</v>
      </c>
      <c r="CS67" s="71">
        <v>998.74498591743225</v>
      </c>
      <c r="CT67" s="71">
        <v>1005.5465125566977</v>
      </c>
      <c r="CU67" s="71">
        <v>1012.4675075605572</v>
      </c>
      <c r="CV67" s="71">
        <v>1019.5079709290109</v>
      </c>
      <c r="CW67" s="71">
        <v>1026.6679026620584</v>
      </c>
      <c r="CX67" s="71">
        <v>1033.9473027597001</v>
      </c>
      <c r="CY67" s="71">
        <v>1041.3461712219355</v>
      </c>
      <c r="CZ67" s="71">
        <v>1048.8645080487649</v>
      </c>
      <c r="DA67" s="71">
        <v>1056.5023132401884</v>
      </c>
      <c r="DB67" s="71">
        <v>1064.2595867962059</v>
      </c>
      <c r="DC67" s="71">
        <v>1072.1363287168174</v>
      </c>
      <c r="DD67" s="71">
        <v>1080.1325390020229</v>
      </c>
      <c r="DE67" s="71">
        <v>1088.2482176518222</v>
      </c>
      <c r="DF67" s="71">
        <v>1096.4833646662157</v>
      </c>
      <c r="DG67" s="71">
        <v>1104.837980045203</v>
      </c>
      <c r="DH67" s="71">
        <v>1113.3120637887844</v>
      </c>
      <c r="DI67" s="71">
        <v>1121.9056158969597</v>
      </c>
      <c r="DJ67" s="71">
        <v>1130.6186363697293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-27.05915191734735</v>
      </c>
      <c r="P68" s="71">
        <v>-27.05915191734735</v>
      </c>
      <c r="Q68" s="71">
        <v>-27.051139462390847</v>
      </c>
      <c r="R68" s="71">
        <v>-26.985719157879206</v>
      </c>
      <c r="S68" s="71">
        <v>-26.854434332610516</v>
      </c>
      <c r="T68" s="71">
        <v>-26.65728498658477</v>
      </c>
      <c r="U68" s="71">
        <v>-26.394271119801978</v>
      </c>
      <c r="V68" s="71">
        <v>-26.065392732262129</v>
      </c>
      <c r="W68" s="71">
        <v>-25.670649823965231</v>
      </c>
      <c r="X68" s="71">
        <v>-25.210042394911284</v>
      </c>
      <c r="Y68" s="71">
        <v>-24.683570445100283</v>
      </c>
      <c r="Z68" s="71">
        <v>-24.09123397453223</v>
      </c>
      <c r="AA68" s="71">
        <v>-23.433032983207124</v>
      </c>
      <c r="AB68" s="71">
        <v>-22.708967471124964</v>
      </c>
      <c r="AC68" s="71">
        <v>-21.919037438285763</v>
      </c>
      <c r="AD68" s="71">
        <v>-21.063242884689505</v>
      </c>
      <c r="AE68" s="71">
        <v>-20.141583810336193</v>
      </c>
      <c r="AF68" s="71">
        <v>-19.154060215225829</v>
      </c>
      <c r="AG68" s="71">
        <v>-18.10067209935842</v>
      </c>
      <c r="AH68" s="71">
        <v>-16.981419462733957</v>
      </c>
      <c r="AI68" s="71">
        <v>-15.796302305352441</v>
      </c>
      <c r="AJ68" s="71">
        <v>-14.545320627213872</v>
      </c>
      <c r="AK68" s="71">
        <v>-13.228474428318254</v>
      </c>
      <c r="AL68" s="71">
        <v>-11.845763708665585</v>
      </c>
      <c r="AM68" s="71">
        <v>-10.397188468255857</v>
      </c>
      <c r="AN68" s="71">
        <v>-8.8827487070890854</v>
      </c>
      <c r="AO68" s="71">
        <v>-7.3024444251652589</v>
      </c>
      <c r="AP68" s="71">
        <v>-5.6562756224843849</v>
      </c>
      <c r="AQ68" s="71">
        <v>-3.9442422990464556</v>
      </c>
      <c r="AR68" s="71">
        <v>-2.1295782477919896</v>
      </c>
      <c r="AS68" s="71">
        <v>-5.9230919231751944E-2</v>
      </c>
      <c r="AT68" s="71">
        <v>2.2836184564819995</v>
      </c>
      <c r="AU68" s="71">
        <v>4.8989698793492913</v>
      </c>
      <c r="AV68" s="71">
        <v>7.7868233493701133</v>
      </c>
      <c r="AW68" s="71">
        <v>10.947178866544441</v>
      </c>
      <c r="AX68" s="71">
        <v>14.380036430872318</v>
      </c>
      <c r="AY68" s="71">
        <v>18.085396042353697</v>
      </c>
      <c r="AZ68" s="71">
        <v>22.063257700988629</v>
      </c>
      <c r="BA68" s="71">
        <v>26.313621406777063</v>
      </c>
      <c r="BB68" s="71">
        <v>30.836487159719049</v>
      </c>
      <c r="BC68" s="71">
        <v>35.631854959814532</v>
      </c>
      <c r="BD68" s="71">
        <v>40.699724807063568</v>
      </c>
      <c r="BE68" s="71">
        <v>46.040096701466098</v>
      </c>
      <c r="BF68" s="71">
        <v>51.652970643022201</v>
      </c>
      <c r="BG68" s="71">
        <v>57.538346631731784</v>
      </c>
      <c r="BH68" s="71">
        <v>63.696224667594933</v>
      </c>
      <c r="BI68" s="71">
        <v>70.126604750611577</v>
      </c>
      <c r="BJ68" s="71">
        <v>76.829486880781786</v>
      </c>
      <c r="BK68" s="71">
        <v>83.804871058105505</v>
      </c>
      <c r="BL68" s="71">
        <v>91.052757282582732</v>
      </c>
      <c r="BM68" s="71">
        <v>98.573145554213525</v>
      </c>
      <c r="BN68" s="71">
        <v>106.36603587299778</v>
      </c>
      <c r="BO68" s="71">
        <v>114.43142823893564</v>
      </c>
      <c r="BP68" s="71">
        <v>122.76932265202694</v>
      </c>
      <c r="BQ68" s="71">
        <v>131.37971911227186</v>
      </c>
      <c r="BR68" s="71">
        <v>140.26261761967024</v>
      </c>
      <c r="BS68" s="71">
        <v>149.4180181742222</v>
      </c>
      <c r="BT68" s="71">
        <v>158.8459207759276</v>
      </c>
      <c r="BU68" s="71">
        <v>168.54632542478654</v>
      </c>
      <c r="BV68" s="71">
        <v>178.51923212079913</v>
      </c>
      <c r="BW68" s="71">
        <v>188.76464086396516</v>
      </c>
      <c r="BX68" s="71">
        <v>199.28255165428467</v>
      </c>
      <c r="BY68" s="71">
        <v>210.07296449175774</v>
      </c>
      <c r="BZ68" s="71">
        <v>221.13587937638445</v>
      </c>
      <c r="CA68" s="71">
        <v>232.47129630816454</v>
      </c>
      <c r="CB68" s="71">
        <v>244.07921528709818</v>
      </c>
      <c r="CC68" s="71">
        <v>255.95963631318548</v>
      </c>
      <c r="CD68" s="71">
        <v>268.11255938642614</v>
      </c>
      <c r="CE68" s="71">
        <v>280.53798450682035</v>
      </c>
      <c r="CF68" s="71">
        <v>293.23591167436808</v>
      </c>
      <c r="CG68" s="71">
        <v>306.20634088906951</v>
      </c>
      <c r="CH68" s="71">
        <v>319.44927215092429</v>
      </c>
      <c r="CI68" s="71">
        <v>332.96470545993259</v>
      </c>
      <c r="CJ68" s="71">
        <v>346.75264081609447</v>
      </c>
      <c r="CK68" s="71">
        <v>360.81307821940999</v>
      </c>
      <c r="CL68" s="71">
        <v>375.14601766987886</v>
      </c>
      <c r="CM68" s="71">
        <v>389.75145916750131</v>
      </c>
      <c r="CN68" s="71">
        <v>404.62940271227723</v>
      </c>
      <c r="CO68" s="71">
        <v>419.77984830420689</v>
      </c>
      <c r="CP68" s="71">
        <v>435.20279594328991</v>
      </c>
      <c r="CQ68" s="71">
        <v>450.8982456295264</v>
      </c>
      <c r="CR68" s="71">
        <v>466.86619736291664</v>
      </c>
      <c r="CS68" s="71">
        <v>483.10665114346028</v>
      </c>
      <c r="CT68" s="71">
        <v>499.61960697115722</v>
      </c>
      <c r="CU68" s="71">
        <v>516.40506484600792</v>
      </c>
      <c r="CV68" s="71">
        <v>533.46302476801225</v>
      </c>
      <c r="CW68" s="71">
        <v>550.79348673716993</v>
      </c>
      <c r="CX68" s="71">
        <v>568.39645075348108</v>
      </c>
      <c r="CY68" s="71">
        <v>586.27191681694603</v>
      </c>
      <c r="CZ68" s="71">
        <v>604.41988492756423</v>
      </c>
      <c r="DA68" s="71">
        <v>622.840355085336</v>
      </c>
      <c r="DB68" s="71">
        <v>641.53332729026135</v>
      </c>
      <c r="DC68" s="71">
        <v>660.49880154234017</v>
      </c>
      <c r="DD68" s="71">
        <v>679.73677784157303</v>
      </c>
      <c r="DE68" s="71">
        <v>699.2472561879589</v>
      </c>
      <c r="DF68" s="71">
        <v>719.03023658149823</v>
      </c>
      <c r="DG68" s="71">
        <v>739.08571902219126</v>
      </c>
      <c r="DH68" s="71">
        <v>759.41370351003752</v>
      </c>
      <c r="DI68" s="71">
        <v>780.01419004503759</v>
      </c>
      <c r="DJ68" s="71">
        <v>800.88717862719136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597.07930884988696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45.862173173553174</v>
      </c>
      <c r="K85" s="79">
        <v>815.74866461573617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-280.47835120656561</v>
      </c>
      <c r="K86" s="79">
        <v>804.44500977264568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810723.1297866028</v>
      </c>
      <c r="J89" s="80">
        <v>7.7954993061462322E-2</v>
      </c>
      <c r="K89" s="80">
        <v>6.8954623439877933E-7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810162.79576453695</v>
      </c>
      <c r="J90" s="80">
        <v>4.0771674300668366E-2</v>
      </c>
      <c r="K90" s="80">
        <v>7.2682390860606915E-8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804445.00977264566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4">
        <f>R111/2/(J113-J116)</f>
        <v>8.9877999170151631E-4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-3.2348462019498738</v>
      </c>
      <c r="L113" s="3"/>
      <c r="Q113" s="70" t="s">
        <v>304</v>
      </c>
      <c r="R113" s="1">
        <f>R111-2*R112*J113</f>
        <v>0.50417666033978403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597.07930884988696</v>
      </c>
      <c r="K114" s="79">
        <v>734.90096878479915</v>
      </c>
      <c r="L114" s="3"/>
      <c r="Q114" s="70" t="s">
        <v>305</v>
      </c>
      <c r="R114" s="1">
        <f>point1.Ms-R113*J113-R112*J113^2</f>
        <v>11.144118981040501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45.862173173553174</v>
      </c>
      <c r="K115" s="79">
        <v>20.315833658007065</v>
      </c>
      <c r="L115" s="3"/>
      <c r="Q115" s="1" t="s">
        <v>306</v>
      </c>
      <c r="R115" s="1">
        <f>R114+R113*J116+R112*J116^2</f>
        <v>-59.56120022342715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-280.47835120656561</v>
      </c>
      <c r="K116" s="79">
        <v>-27.05915191734735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3.9303827080607365</v>
      </c>
      <c r="J119" s="80">
        <v>2.8514279260618571E-4</v>
      </c>
      <c r="K119" s="80">
        <v>1.5728244135529917E-9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2.8470113644034751</v>
      </c>
      <c r="J120" s="80">
        <v>2.1325113437882162E-4</v>
      </c>
      <c r="K120" s="80">
        <v>3.8015613943367635E-10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-27.05915191734735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41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40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41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11" t="s">
        <v>84</v>
      </c>
      <c r="C137" s="11"/>
      <c r="D137" s="11"/>
      <c r="E137" s="11"/>
      <c r="F137" s="11"/>
      <c r="G137" s="11"/>
      <c r="H137" s="11"/>
      <c r="I137" s="10" t="s">
        <v>404</v>
      </c>
      <c r="J137" s="141">
        <v>1.5</v>
      </c>
      <c r="K137" s="93" t="s">
        <v>86</v>
      </c>
      <c r="L137" s="3"/>
      <c r="U137" s="99"/>
    </row>
    <row r="138" spans="1:21" ht="20.100000000000001" customHeight="1">
      <c r="A138" s="9" t="s">
        <v>35</v>
      </c>
      <c r="B138" s="8" t="s">
        <v>79</v>
      </c>
      <c r="C138" s="8"/>
      <c r="D138" s="8"/>
      <c r="E138" s="8"/>
      <c r="F138" s="8"/>
      <c r="G138" s="8"/>
      <c r="H138" s="8"/>
      <c r="I138" s="7" t="s">
        <v>80</v>
      </c>
      <c r="J138" s="62">
        <v>6457.3265379635222</v>
      </c>
      <c r="K138" s="5" t="s">
        <v>81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250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251</v>
      </c>
      <c r="C141" s="8"/>
      <c r="D141" s="8"/>
      <c r="E141" s="8"/>
      <c r="F141" s="8"/>
      <c r="G141" s="8"/>
      <c r="H141" s="8"/>
      <c r="I141" s="7" t="s">
        <v>252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248</v>
      </c>
      <c r="C142" s="8"/>
      <c r="D142" s="8"/>
      <c r="E142" s="8"/>
      <c r="F142" s="8"/>
      <c r="G142" s="8"/>
      <c r="H142" s="8"/>
      <c r="I142" s="7" t="s">
        <v>249</v>
      </c>
      <c r="J142" s="62">
        <v>23151.127636464935</v>
      </c>
      <c r="K142" s="5" t="s">
        <v>81</v>
      </c>
      <c r="L142" s="3"/>
      <c r="U142" s="99"/>
    </row>
    <row r="143" spans="1:21" ht="20.100000000000001" customHeight="1">
      <c r="A143" s="9" t="s">
        <v>3</v>
      </c>
      <c r="B143" s="8" t="s">
        <v>84</v>
      </c>
      <c r="C143" s="8"/>
      <c r="D143" s="8"/>
      <c r="E143" s="8"/>
      <c r="F143" s="8"/>
      <c r="G143" s="8"/>
      <c r="H143" s="8"/>
      <c r="I143" s="82" t="s">
        <v>85</v>
      </c>
      <c r="J143" s="6">
        <v>1.2789206054824171</v>
      </c>
      <c r="K143" s="5" t="s">
        <v>86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75</v>
      </c>
      <c r="C147" s="8"/>
      <c r="D147" s="8"/>
      <c r="E147" s="8"/>
      <c r="F147" s="8"/>
      <c r="G147" s="8"/>
      <c r="H147" s="8"/>
      <c r="I147" s="7" t="s">
        <v>76</v>
      </c>
      <c r="J147" s="62">
        <v>466.86190392926289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327</v>
      </c>
      <c r="C148" s="8"/>
      <c r="D148" s="8"/>
      <c r="E148" s="8"/>
      <c r="F148" s="8"/>
      <c r="G148" s="8"/>
      <c r="H148" s="8"/>
      <c r="I148" s="81" t="s">
        <v>328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329</v>
      </c>
      <c r="C149" s="8"/>
      <c r="D149" s="8"/>
      <c r="E149" s="8"/>
      <c r="F149" s="8"/>
      <c r="G149" s="8"/>
      <c r="H149" s="8"/>
      <c r="I149" s="81" t="s">
        <v>83</v>
      </c>
      <c r="J149" s="62">
        <v>-250.3393512065656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-250.3393512065656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8.8796847916087593E-2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234</v>
      </c>
      <c r="N155" s="78" t="s">
        <v>227</v>
      </c>
      <c r="O155" s="78">
        <v>1</v>
      </c>
      <c r="P155" s="78" t="s">
        <v>228</v>
      </c>
      <c r="Q155" s="78" t="s">
        <v>229</v>
      </c>
      <c r="R155" s="78" t="s">
        <v>230</v>
      </c>
      <c r="S155" s="78" t="s">
        <v>231</v>
      </c>
      <c r="U155" s="99"/>
    </row>
    <row r="156" spans="1:21" ht="20.100000000000001" customHeight="1">
      <c r="A156" s="9" t="s">
        <v>5</v>
      </c>
      <c r="B156" s="8" t="s">
        <v>222</v>
      </c>
      <c r="C156" s="8"/>
      <c r="D156" s="8"/>
      <c r="E156" s="8"/>
      <c r="F156" s="8"/>
      <c r="G156" s="8"/>
      <c r="H156" s="8"/>
      <c r="I156" s="7" t="s">
        <v>235</v>
      </c>
      <c r="J156" s="62">
        <v>1087.1167181091412</v>
      </c>
      <c r="K156" s="5" t="s">
        <v>223</v>
      </c>
      <c r="L156" s="3"/>
      <c r="M156" s="70" t="s">
        <v>233</v>
      </c>
      <c r="N156" s="102"/>
      <c r="O156" s="102"/>
      <c r="P156" s="102"/>
      <c r="Q156" s="102"/>
      <c r="R156" s="102"/>
      <c r="S156" s="122">
        <f>1/bolt.axial_stiffness</f>
        <v>9.1986442977285256E-4</v>
      </c>
      <c r="T156" s="1" t="s">
        <v>225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237</v>
      </c>
      <c r="J157" s="62">
        <v>147.47458220868361</v>
      </c>
      <c r="K157" s="5" t="s">
        <v>78</v>
      </c>
      <c r="L157" s="3"/>
      <c r="M157" s="70" t="s">
        <v>232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6780.8295166753005</v>
      </c>
      <c r="T157" s="1" t="s">
        <v>224</v>
      </c>
      <c r="U157" s="99"/>
    </row>
    <row r="158" spans="1:21" ht="20.100000000000001" customHeight="1">
      <c r="A158" s="9" t="s">
        <v>3</v>
      </c>
      <c r="B158" s="8" t="s">
        <v>284</v>
      </c>
      <c r="C158" s="8"/>
      <c r="D158" s="8"/>
      <c r="E158" s="8"/>
      <c r="F158" s="8"/>
      <c r="G158" s="8"/>
      <c r="H158" s="8"/>
      <c r="I158" s="7" t="s">
        <v>220</v>
      </c>
      <c r="J158" s="62">
        <v>1473.1493426522268</v>
      </c>
      <c r="K158" s="5" t="s">
        <v>219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240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238</v>
      </c>
      <c r="C161" s="11"/>
      <c r="D161" s="11"/>
      <c r="E161" s="11"/>
      <c r="F161" s="11"/>
      <c r="G161" s="11"/>
      <c r="H161" s="11"/>
      <c r="I161" s="10" t="s">
        <v>239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148.68397322195224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59.473589288780907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0">
        <v>16227528.242216157</v>
      </c>
      <c r="K164" s="5" t="s">
        <v>289</v>
      </c>
      <c r="L164" s="3"/>
      <c r="U164" s="100"/>
    </row>
    <row r="165" spans="1:21" ht="20.100000000000001" customHeight="1">
      <c r="A165" s="9" t="s">
        <v>6</v>
      </c>
      <c r="B165" s="8" t="s">
        <v>226</v>
      </c>
      <c r="C165" s="8"/>
      <c r="D165" s="8"/>
      <c r="E165" s="8"/>
      <c r="F165" s="8"/>
      <c r="G165" s="8"/>
      <c r="H165" s="8"/>
      <c r="I165" s="7" t="s">
        <v>236</v>
      </c>
      <c r="J165" s="92">
        <v>6489.7425600782899</v>
      </c>
      <c r="K165" s="5" t="s">
        <v>223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3.6390525144372701E-2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0.19033608260603849</v>
      </c>
      <c r="K167" s="5" t="s">
        <v>86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1"/>
  <sheetViews>
    <sheetView showGridLines="0" zoomScaleNormal="100" workbookViewId="0">
      <pane ySplit="1" topLeftCell="A120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405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-203.20472760369486</v>
      </c>
      <c r="P66" s="71">
        <v>-194.66221378212111</v>
      </c>
      <c r="Q66" s="71">
        <v>-186.11969996054734</v>
      </c>
      <c r="R66" s="71">
        <v>-177.57718613897356</v>
      </c>
      <c r="S66" s="71">
        <v>-169.03467231739981</v>
      </c>
      <c r="T66" s="71">
        <v>-160.49215849582606</v>
      </c>
      <c r="U66" s="71">
        <v>-151.94964467425231</v>
      </c>
      <c r="V66" s="71">
        <v>-143.40713085267853</v>
      </c>
      <c r="W66" s="71">
        <v>-134.86461703110479</v>
      </c>
      <c r="X66" s="71">
        <v>-126.32210320953102</v>
      </c>
      <c r="Y66" s="71">
        <v>-117.77958938795726</v>
      </c>
      <c r="Z66" s="71">
        <v>-109.23707556638348</v>
      </c>
      <c r="AA66" s="71">
        <v>-100.69456174480973</v>
      </c>
      <c r="AB66" s="71">
        <v>-92.152047923235983</v>
      </c>
      <c r="AC66" s="71">
        <v>-83.609534101662206</v>
      </c>
      <c r="AD66" s="71">
        <v>-75.067020280088443</v>
      </c>
      <c r="AE66" s="71">
        <v>-66.524506458514693</v>
      </c>
      <c r="AF66" s="71">
        <v>-57.981992636940937</v>
      </c>
      <c r="AG66" s="71">
        <v>-49.439478815367181</v>
      </c>
      <c r="AH66" s="71">
        <v>-40.896964993793404</v>
      </c>
      <c r="AI66" s="71">
        <v>-32.354451172219648</v>
      </c>
      <c r="AJ66" s="71">
        <v>-23.811937350645895</v>
      </c>
      <c r="AK66" s="71">
        <v>-15.269423529072112</v>
      </c>
      <c r="AL66" s="71">
        <v>-6.7269097074983586</v>
      </c>
      <c r="AM66" s="71">
        <v>1.8156041140753951</v>
      </c>
      <c r="AN66" s="71">
        <v>10.358117935649149</v>
      </c>
      <c r="AO66" s="71">
        <v>18.9006317572229</v>
      </c>
      <c r="AP66" s="71">
        <v>27.443145578796685</v>
      </c>
      <c r="AQ66" s="71">
        <v>35.985659400370437</v>
      </c>
      <c r="AR66" s="71">
        <v>44.528173221944193</v>
      </c>
      <c r="AS66" s="71">
        <v>53.070687043517971</v>
      </c>
      <c r="AT66" s="71">
        <v>61.613200865091727</v>
      </c>
      <c r="AU66" s="71">
        <v>70.155714686665476</v>
      </c>
      <c r="AV66" s="71">
        <v>78.698228508239239</v>
      </c>
      <c r="AW66" s="71">
        <v>87.240742329812988</v>
      </c>
      <c r="AX66" s="71">
        <v>95.783256151386738</v>
      </c>
      <c r="AY66" s="71">
        <v>104.3257699729605</v>
      </c>
      <c r="AZ66" s="71">
        <v>112.86828379453431</v>
      </c>
      <c r="BA66" s="71">
        <v>121.41079761610806</v>
      </c>
      <c r="BB66" s="71">
        <v>129.9533114376818</v>
      </c>
      <c r="BC66" s="71">
        <v>138.49582525925555</v>
      </c>
      <c r="BD66" s="71">
        <v>147.03833908082933</v>
      </c>
      <c r="BE66" s="71">
        <v>155.58085290240308</v>
      </c>
      <c r="BF66" s="71">
        <v>164.12336672397683</v>
      </c>
      <c r="BG66" s="71">
        <v>172.66588054555064</v>
      </c>
      <c r="BH66" s="71">
        <v>181.20839436712438</v>
      </c>
      <c r="BI66" s="71">
        <v>189.75090818869813</v>
      </c>
      <c r="BJ66" s="71">
        <v>198.29342201027191</v>
      </c>
      <c r="BK66" s="71">
        <v>206.83593583184566</v>
      </c>
      <c r="BL66" s="71">
        <v>215.37844965341941</v>
      </c>
      <c r="BM66" s="71">
        <v>223.92096347499316</v>
      </c>
      <c r="BN66" s="71">
        <v>232.46347729656691</v>
      </c>
      <c r="BO66" s="71">
        <v>241.00599111814066</v>
      </c>
      <c r="BP66" s="71">
        <v>249.54850493971446</v>
      </c>
      <c r="BQ66" s="71">
        <v>258.09101876128824</v>
      </c>
      <c r="BR66" s="71">
        <v>266.63353258286196</v>
      </c>
      <c r="BS66" s="71">
        <v>275.17604640443574</v>
      </c>
      <c r="BT66" s="71">
        <v>283.71856022600946</v>
      </c>
      <c r="BU66" s="71">
        <v>292.26107404758329</v>
      </c>
      <c r="BV66" s="71">
        <v>300.80358786915696</v>
      </c>
      <c r="BW66" s="71">
        <v>309.34610169073079</v>
      </c>
      <c r="BX66" s="71">
        <v>317.88861551230457</v>
      </c>
      <c r="BY66" s="71">
        <v>326.43112933387829</v>
      </c>
      <c r="BZ66" s="71">
        <v>334.97364315545195</v>
      </c>
      <c r="CA66" s="71">
        <v>343.51615697702579</v>
      </c>
      <c r="CB66" s="71">
        <v>352.05867079859962</v>
      </c>
      <c r="CC66" s="71">
        <v>360.60118462017329</v>
      </c>
      <c r="CD66" s="71">
        <v>369.14369844174712</v>
      </c>
      <c r="CE66" s="71">
        <v>377.68621226332078</v>
      </c>
      <c r="CF66" s="71">
        <v>386.22872608489462</v>
      </c>
      <c r="CG66" s="71">
        <v>394.77123990646834</v>
      </c>
      <c r="CH66" s="71">
        <v>403.31375372804212</v>
      </c>
      <c r="CI66" s="71">
        <v>411.85626754961584</v>
      </c>
      <c r="CJ66" s="71">
        <v>420.39878137118961</v>
      </c>
      <c r="CK66" s="71">
        <v>428.94129519276345</v>
      </c>
      <c r="CL66" s="71">
        <v>437.48380901433711</v>
      </c>
      <c r="CM66" s="71">
        <v>446.02632283591095</v>
      </c>
      <c r="CN66" s="71">
        <v>454.56883665748467</v>
      </c>
      <c r="CO66" s="71">
        <v>463.11135047905844</v>
      </c>
      <c r="CP66" s="71">
        <v>471.65386430063216</v>
      </c>
      <c r="CQ66" s="71">
        <v>480.19637812220594</v>
      </c>
      <c r="CR66" s="71">
        <v>488.73889194377978</v>
      </c>
      <c r="CS66" s="71">
        <v>497.2814057653535</v>
      </c>
      <c r="CT66" s="71">
        <v>505.82391958692727</v>
      </c>
      <c r="CU66" s="71">
        <v>514.36643340850094</v>
      </c>
      <c r="CV66" s="71">
        <v>522.90894723007477</v>
      </c>
      <c r="CW66" s="71">
        <v>531.45146105164849</v>
      </c>
      <c r="CX66" s="71">
        <v>539.99397487322233</v>
      </c>
      <c r="CY66" s="71">
        <v>548.53648869479616</v>
      </c>
      <c r="CZ66" s="71">
        <v>557.07900251636977</v>
      </c>
      <c r="DA66" s="71">
        <v>565.6215163379436</v>
      </c>
      <c r="DB66" s="71">
        <v>574.16403015951732</v>
      </c>
      <c r="DC66" s="71">
        <v>582.70654398109116</v>
      </c>
      <c r="DD66" s="71">
        <v>591.24905780266477</v>
      </c>
      <c r="DE66" s="71">
        <v>599.7915716242386</v>
      </c>
      <c r="DF66" s="71">
        <v>608.33408544581232</v>
      </c>
      <c r="DG66" s="71">
        <v>616.87659926738615</v>
      </c>
      <c r="DH66" s="71">
        <v>625.41911308895999</v>
      </c>
      <c r="DI66" s="71">
        <v>633.9616269105336</v>
      </c>
      <c r="DJ66" s="71">
        <v>642.50414073210732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808.2497669844746</v>
      </c>
      <c r="P67" s="71">
        <v>808.2497669844746</v>
      </c>
      <c r="Q67" s="71">
        <v>808.25130947530374</v>
      </c>
      <c r="R67" s="71">
        <v>808.25691740473621</v>
      </c>
      <c r="S67" s="71">
        <v>808.26662690541707</v>
      </c>
      <c r="T67" s="71">
        <v>808.28043797734631</v>
      </c>
      <c r="U67" s="71">
        <v>808.29835062052416</v>
      </c>
      <c r="V67" s="71">
        <v>808.32036483495028</v>
      </c>
      <c r="W67" s="71">
        <v>808.34648062062513</v>
      </c>
      <c r="X67" s="71">
        <v>808.37669797754825</v>
      </c>
      <c r="Y67" s="71">
        <v>808.41101690571986</v>
      </c>
      <c r="Z67" s="71">
        <v>808.44943740513986</v>
      </c>
      <c r="AA67" s="71">
        <v>808.49195947580859</v>
      </c>
      <c r="AB67" s="71">
        <v>808.53858311772558</v>
      </c>
      <c r="AC67" s="71">
        <v>808.58930833089107</v>
      </c>
      <c r="AD67" s="71">
        <v>808.64413511530495</v>
      </c>
      <c r="AE67" s="71">
        <v>808.70306347096744</v>
      </c>
      <c r="AF67" s="71">
        <v>808.76609339787831</v>
      </c>
      <c r="AG67" s="71">
        <v>808.83322489603768</v>
      </c>
      <c r="AH67" s="71">
        <v>808.90445796544543</v>
      </c>
      <c r="AI67" s="71">
        <v>808.97979260610168</v>
      </c>
      <c r="AJ67" s="71">
        <v>809.08609109853774</v>
      </c>
      <c r="AK67" s="71">
        <v>809.2911330862795</v>
      </c>
      <c r="AL67" s="71">
        <v>809.5982121095841</v>
      </c>
      <c r="AM67" s="71">
        <v>810.00732816845175</v>
      </c>
      <c r="AN67" s="71">
        <v>810.51848126288235</v>
      </c>
      <c r="AO67" s="71">
        <v>811.131671392876</v>
      </c>
      <c r="AP67" s="71">
        <v>811.8468985584326</v>
      </c>
      <c r="AQ67" s="71">
        <v>812.66416275955226</v>
      </c>
      <c r="AR67" s="71">
        <v>813.58346399623485</v>
      </c>
      <c r="AS67" s="71">
        <v>814.6048022684804</v>
      </c>
      <c r="AT67" s="71">
        <v>815.72817757628889</v>
      </c>
      <c r="AU67" s="71">
        <v>816.95358991966054</v>
      </c>
      <c r="AV67" s="71">
        <v>818.28103929859515</v>
      </c>
      <c r="AW67" s="71">
        <v>819.71052571309269</v>
      </c>
      <c r="AX67" s="71">
        <v>821.24204916315318</v>
      </c>
      <c r="AY67" s="71">
        <v>822.87560964877673</v>
      </c>
      <c r="AZ67" s="71">
        <v>824.61120716996334</v>
      </c>
      <c r="BA67" s="71">
        <v>826.44884172671277</v>
      </c>
      <c r="BB67" s="71">
        <v>828.38851331902526</v>
      </c>
      <c r="BC67" s="71">
        <v>830.43022194690082</v>
      </c>
      <c r="BD67" s="71">
        <v>832.57396761033931</v>
      </c>
      <c r="BE67" s="71">
        <v>834.81975030934075</v>
      </c>
      <c r="BF67" s="71">
        <v>837.16757004390524</v>
      </c>
      <c r="BG67" s="71">
        <v>839.61742681403268</v>
      </c>
      <c r="BH67" s="71">
        <v>842.16932061972318</v>
      </c>
      <c r="BI67" s="71">
        <v>844.82325146097662</v>
      </c>
      <c r="BJ67" s="71">
        <v>847.57921933779312</v>
      </c>
      <c r="BK67" s="71">
        <v>850.43722425017245</v>
      </c>
      <c r="BL67" s="71">
        <v>853.39726619811495</v>
      </c>
      <c r="BM67" s="71">
        <v>856.45934518162028</v>
      </c>
      <c r="BN67" s="71">
        <v>859.62346120068878</v>
      </c>
      <c r="BO67" s="71">
        <v>862.88961425532011</v>
      </c>
      <c r="BP67" s="71">
        <v>866.2578043455145</v>
      </c>
      <c r="BQ67" s="71">
        <v>869.72803147127195</v>
      </c>
      <c r="BR67" s="71">
        <v>873.30029563259234</v>
      </c>
      <c r="BS67" s="71">
        <v>876.97459682947567</v>
      </c>
      <c r="BT67" s="71">
        <v>880.75093506192206</v>
      </c>
      <c r="BU67" s="71">
        <v>884.62931032993129</v>
      </c>
      <c r="BV67" s="71">
        <v>888.60972263350368</v>
      </c>
      <c r="BW67" s="71">
        <v>892.69217197263902</v>
      </c>
      <c r="BX67" s="71">
        <v>896.87665834733741</v>
      </c>
      <c r="BY67" s="71">
        <v>901.16318175759864</v>
      </c>
      <c r="BZ67" s="71">
        <v>905.55174220342292</v>
      </c>
      <c r="CA67" s="71">
        <v>910.04233968481026</v>
      </c>
      <c r="CB67" s="71">
        <v>914.63497420176066</v>
      </c>
      <c r="CC67" s="71">
        <v>919.32964575427388</v>
      </c>
      <c r="CD67" s="71">
        <v>924.12635434235017</v>
      </c>
      <c r="CE67" s="71">
        <v>929.0250999659894</v>
      </c>
      <c r="CF67" s="71">
        <v>934.02588262519168</v>
      </c>
      <c r="CG67" s="71">
        <v>939.1287023199568</v>
      </c>
      <c r="CH67" s="71">
        <v>944.33355905028509</v>
      </c>
      <c r="CI67" s="71">
        <v>949.64045281617632</v>
      </c>
      <c r="CJ67" s="71">
        <v>955.04938361763061</v>
      </c>
      <c r="CK67" s="71">
        <v>960.56035145464784</v>
      </c>
      <c r="CL67" s="71">
        <v>966.17335632722802</v>
      </c>
      <c r="CM67" s="71">
        <v>971.88839823537126</v>
      </c>
      <c r="CN67" s="71">
        <v>977.70547717907732</v>
      </c>
      <c r="CO67" s="71">
        <v>983.62459315834656</v>
      </c>
      <c r="CP67" s="71">
        <v>989.64574617317862</v>
      </c>
      <c r="CQ67" s="71">
        <v>995.76893622357386</v>
      </c>
      <c r="CR67" s="71">
        <v>1001.994163309532</v>
      </c>
      <c r="CS67" s="71">
        <v>1008.3214274310532</v>
      </c>
      <c r="CT67" s="71">
        <v>1014.7507285881373</v>
      </c>
      <c r="CU67" s="71">
        <v>1021.2820667807844</v>
      </c>
      <c r="CV67" s="71">
        <v>1027.9154420089944</v>
      </c>
      <c r="CW67" s="71">
        <v>1034.6508542727677</v>
      </c>
      <c r="CX67" s="71">
        <v>1041.4883035721036</v>
      </c>
      <c r="CY67" s="71">
        <v>1048.4277899070028</v>
      </c>
      <c r="CZ67" s="71">
        <v>1055.4693132774648</v>
      </c>
      <c r="DA67" s="71">
        <v>1062.6128736834901</v>
      </c>
      <c r="DB67" s="71">
        <v>1069.8584711250783</v>
      </c>
      <c r="DC67" s="71">
        <v>1077.2061056022292</v>
      </c>
      <c r="DD67" s="71">
        <v>1084.6557771149432</v>
      </c>
      <c r="DE67" s="71">
        <v>1092.2074856632203</v>
      </c>
      <c r="DF67" s="71">
        <v>1099.8612312470602</v>
      </c>
      <c r="DG67" s="71">
        <v>1107.6170138664631</v>
      </c>
      <c r="DH67" s="71">
        <v>1115.4748335214294</v>
      </c>
      <c r="DI67" s="71">
        <v>1123.4346902119582</v>
      </c>
      <c r="DJ67" s="71">
        <v>1131.49658393805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-15.604905869216092</v>
      </c>
      <c r="P68" s="71">
        <v>-15.604905869216092</v>
      </c>
      <c r="Q68" s="71">
        <v>-15.580520318030255</v>
      </c>
      <c r="R68" s="71">
        <v>-15.491863421254012</v>
      </c>
      <c r="S68" s="71">
        <v>-15.338363950551019</v>
      </c>
      <c r="T68" s="71">
        <v>-15.120021905921268</v>
      </c>
      <c r="U68" s="71">
        <v>-14.836837287364768</v>
      </c>
      <c r="V68" s="71">
        <v>-14.48881009488151</v>
      </c>
      <c r="W68" s="71">
        <v>-14.075940328471502</v>
      </c>
      <c r="X68" s="71">
        <v>-13.598227988134738</v>
      </c>
      <c r="Y68" s="71">
        <v>-13.055673073871221</v>
      </c>
      <c r="Z68" s="71">
        <v>-12.448275585680948</v>
      </c>
      <c r="AA68" s="71">
        <v>-11.776035523563927</v>
      </c>
      <c r="AB68" s="71">
        <v>-11.03895288752015</v>
      </c>
      <c r="AC68" s="71">
        <v>-10.237027677549618</v>
      </c>
      <c r="AD68" s="71">
        <v>-9.3702598936523316</v>
      </c>
      <c r="AE68" s="71">
        <v>-8.4386495358282936</v>
      </c>
      <c r="AF68" s="71">
        <v>-7.4421966040775018</v>
      </c>
      <c r="AG68" s="71">
        <v>-6.3809010983999563</v>
      </c>
      <c r="AH68" s="71">
        <v>-5.2547630187956536</v>
      </c>
      <c r="AI68" s="71">
        <v>-4.0637823652646006</v>
      </c>
      <c r="AJ68" s="71">
        <v>-2.7619067666512818</v>
      </c>
      <c r="AK68" s="71">
        <v>-1.2329356160562304</v>
      </c>
      <c r="AL68" s="71">
        <v>0.52877749238588678</v>
      </c>
      <c r="AM68" s="71">
        <v>2.5232325586750752</v>
      </c>
      <c r="AN68" s="71">
        <v>4.7504295828113339</v>
      </c>
      <c r="AO68" s="71">
        <v>7.2103685647946643</v>
      </c>
      <c r="AP68" s="71">
        <v>9.903049504625077</v>
      </c>
      <c r="AQ68" s="71">
        <v>12.82847240230255</v>
      </c>
      <c r="AR68" s="71">
        <v>15.986637257827095</v>
      </c>
      <c r="AS68" s="71">
        <v>19.377544071198724</v>
      </c>
      <c r="AT68" s="71">
        <v>23.00119284241741</v>
      </c>
      <c r="AU68" s="71">
        <v>26.857583571483168</v>
      </c>
      <c r="AV68" s="71">
        <v>30.946716258395998</v>
      </c>
      <c r="AW68" s="71">
        <v>35.268590903155896</v>
      </c>
      <c r="AX68" s="71">
        <v>39.82320750576288</v>
      </c>
      <c r="AY68" s="71">
        <v>44.610566066216919</v>
      </c>
      <c r="AZ68" s="71">
        <v>49.630666584518067</v>
      </c>
      <c r="BA68" s="71">
        <v>54.883509060666256</v>
      </c>
      <c r="BB68" s="71">
        <v>60.369093494661513</v>
      </c>
      <c r="BC68" s="71">
        <v>66.087419886503838</v>
      </c>
      <c r="BD68" s="71">
        <v>72.038488236193245</v>
      </c>
      <c r="BE68" s="71">
        <v>78.222298543729721</v>
      </c>
      <c r="BF68" s="71">
        <v>84.638850809113265</v>
      </c>
      <c r="BG68" s="71">
        <v>91.28814503234392</v>
      </c>
      <c r="BH68" s="71">
        <v>98.1701812134216</v>
      </c>
      <c r="BI68" s="71">
        <v>105.28495935234638</v>
      </c>
      <c r="BJ68" s="71">
        <v>112.63247944911818</v>
      </c>
      <c r="BK68" s="71">
        <v>120.21274150373709</v>
      </c>
      <c r="BL68" s="71">
        <v>128.02574551620305</v>
      </c>
      <c r="BM68" s="71">
        <v>136.07149148651609</v>
      </c>
      <c r="BN68" s="71">
        <v>144.34997941467623</v>
      </c>
      <c r="BO68" s="71">
        <v>152.86120930068338</v>
      </c>
      <c r="BP68" s="71">
        <v>161.60518114453768</v>
      </c>
      <c r="BQ68" s="71">
        <v>170.58189494623903</v>
      </c>
      <c r="BR68" s="71">
        <v>179.79135070578738</v>
      </c>
      <c r="BS68" s="71">
        <v>189.23354842318292</v>
      </c>
      <c r="BT68" s="71">
        <v>198.90848809842541</v>
      </c>
      <c r="BU68" s="71">
        <v>208.81616973151509</v>
      </c>
      <c r="BV68" s="71">
        <v>218.95659332245171</v>
      </c>
      <c r="BW68" s="71">
        <v>229.32975887123553</v>
      </c>
      <c r="BX68" s="71">
        <v>239.93566637786643</v>
      </c>
      <c r="BY68" s="71">
        <v>250.77431584234427</v>
      </c>
      <c r="BZ68" s="71">
        <v>261.84570726466916</v>
      </c>
      <c r="CA68" s="71">
        <v>273.14984064484128</v>
      </c>
      <c r="CB68" s="71">
        <v>284.68671598286045</v>
      </c>
      <c r="CC68" s="71">
        <v>296.45633327872656</v>
      </c>
      <c r="CD68" s="71">
        <v>308.4586925324399</v>
      </c>
      <c r="CE68" s="71">
        <v>320.69379374400017</v>
      </c>
      <c r="CF68" s="71">
        <v>333.16163691340762</v>
      </c>
      <c r="CG68" s="71">
        <v>345.862222040662</v>
      </c>
      <c r="CH68" s="71">
        <v>358.79554912576361</v>
      </c>
      <c r="CI68" s="71">
        <v>371.96161816871216</v>
      </c>
      <c r="CJ68" s="71">
        <v>385.36042916950788</v>
      </c>
      <c r="CK68" s="71">
        <v>398.99198212815077</v>
      </c>
      <c r="CL68" s="71">
        <v>412.85627704464054</v>
      </c>
      <c r="CM68" s="71">
        <v>426.95331391897753</v>
      </c>
      <c r="CN68" s="71">
        <v>441.28309275116135</v>
      </c>
      <c r="CO68" s="71">
        <v>455.84561354119251</v>
      </c>
      <c r="CP68" s="71">
        <v>470.64087628907049</v>
      </c>
      <c r="CQ68" s="71">
        <v>485.66888099479576</v>
      </c>
      <c r="CR68" s="71">
        <v>500.92962765836813</v>
      </c>
      <c r="CS68" s="71">
        <v>516.42311627978745</v>
      </c>
      <c r="CT68" s="71">
        <v>532.14934685905394</v>
      </c>
      <c r="CU68" s="71">
        <v>548.10831939616719</v>
      </c>
      <c r="CV68" s="71">
        <v>564.30003389112778</v>
      </c>
      <c r="CW68" s="71">
        <v>580.72449034393537</v>
      </c>
      <c r="CX68" s="71">
        <v>597.38168875459019</v>
      </c>
      <c r="CY68" s="71">
        <v>614.27162912309211</v>
      </c>
      <c r="CZ68" s="71">
        <v>631.39431144944069</v>
      </c>
      <c r="DA68" s="71">
        <v>648.74973573363673</v>
      </c>
      <c r="DB68" s="71">
        <v>666.33790197567953</v>
      </c>
      <c r="DC68" s="71">
        <v>684.15881017556978</v>
      </c>
      <c r="DD68" s="71">
        <v>702.21246033330681</v>
      </c>
      <c r="DE68" s="71">
        <v>720.49885244889117</v>
      </c>
      <c r="DF68" s="71">
        <v>739.01798652232208</v>
      </c>
      <c r="DG68" s="71">
        <v>757.76986255360066</v>
      </c>
      <c r="DH68" s="71">
        <v>776.75448054272624</v>
      </c>
      <c r="DI68" s="71">
        <v>795.97184048969848</v>
      </c>
      <c r="DJ68" s="71">
        <v>815.42194239451794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611.90870545914981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39.621905687125555</v>
      </c>
      <c r="K85" s="79">
        <v>813.04300409850282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-193.52831200351892</v>
      </c>
      <c r="K86" s="79">
        <v>808.2497669844746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809911.83695540705</v>
      </c>
      <c r="J89" s="80">
        <v>5.1325393712574378E-2</v>
      </c>
      <c r="K89" s="80">
        <v>6.9912761504679816E-7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809302.30526839104</v>
      </c>
      <c r="J90" s="80">
        <v>1.0877357147591834E-2</v>
      </c>
      <c r="K90" s="80">
        <v>2.8102754152565673E-8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808249.76698447461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-3.7443195659274386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611.90870545914981</v>
      </c>
      <c r="K114" s="79">
        <v>746.83640141083572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39.621905687125555</v>
      </c>
      <c r="K115" s="79">
        <v>14.14434187979213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-193.52831200351892</v>
      </c>
      <c r="K116" s="79">
        <v>-15.604905869216092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2.079859700625331</v>
      </c>
      <c r="J119" s="80">
        <v>2.4130597922003994E-4</v>
      </c>
      <c r="K119" s="80">
        <v>1.5946791183530058E-9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1.034885896230771</v>
      </c>
      <c r="J120" s="80">
        <v>1.7196235107082731E-4</v>
      </c>
      <c r="K120" s="80">
        <v>4.4428215512906584E-10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-15.604905869216092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41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40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41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11" t="s">
        <v>84</v>
      </c>
      <c r="C137" s="8"/>
      <c r="D137" s="8"/>
      <c r="E137" s="8"/>
      <c r="F137" s="8"/>
      <c r="G137" s="8"/>
      <c r="H137" s="8"/>
      <c r="I137" s="10" t="s">
        <v>404</v>
      </c>
      <c r="J137" s="141">
        <v>2</v>
      </c>
      <c r="K137" s="93" t="s">
        <v>86</v>
      </c>
      <c r="L137" s="3"/>
      <c r="U137" s="99"/>
    </row>
    <row r="138" spans="1:21" ht="20.100000000000001" customHeight="1">
      <c r="A138" s="9" t="s">
        <v>35</v>
      </c>
      <c r="B138" s="8" t="s">
        <v>79</v>
      </c>
      <c r="C138" s="8"/>
      <c r="D138" s="8"/>
      <c r="E138" s="8"/>
      <c r="F138" s="8"/>
      <c r="G138" s="8"/>
      <c r="H138" s="8"/>
      <c r="I138" s="7" t="s">
        <v>80</v>
      </c>
      <c r="J138" s="62">
        <v>2428.6322759433774</v>
      </c>
      <c r="K138" s="5" t="s">
        <v>81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250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251</v>
      </c>
      <c r="C141" s="8"/>
      <c r="D141" s="8"/>
      <c r="E141" s="8"/>
      <c r="F141" s="8"/>
      <c r="G141" s="8"/>
      <c r="H141" s="8"/>
      <c r="I141" s="7" t="s">
        <v>252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248</v>
      </c>
      <c r="C142" s="8"/>
      <c r="D142" s="8"/>
      <c r="E142" s="8"/>
      <c r="F142" s="8"/>
      <c r="G142" s="8"/>
      <c r="H142" s="8"/>
      <c r="I142" s="7" t="s">
        <v>249</v>
      </c>
      <c r="J142" s="62">
        <v>23151.127636464935</v>
      </c>
      <c r="K142" s="5" t="s">
        <v>81</v>
      </c>
      <c r="L142" s="3"/>
      <c r="U142" s="99"/>
    </row>
    <row r="143" spans="1:21" ht="20.100000000000001" customHeight="1">
      <c r="A143" s="9" t="s">
        <v>3</v>
      </c>
      <c r="B143" s="8" t="s">
        <v>84</v>
      </c>
      <c r="C143" s="8"/>
      <c r="D143" s="8"/>
      <c r="E143" s="8"/>
      <c r="F143" s="8"/>
      <c r="G143" s="8"/>
      <c r="H143" s="8"/>
      <c r="I143" s="82" t="s">
        <v>85</v>
      </c>
      <c r="J143" s="6">
        <v>1.1049034117939931</v>
      </c>
      <c r="K143" s="5" t="s">
        <v>86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75</v>
      </c>
      <c r="C147" s="8"/>
      <c r="D147" s="8"/>
      <c r="E147" s="8"/>
      <c r="F147" s="8"/>
      <c r="G147" s="8"/>
      <c r="H147" s="8"/>
      <c r="I147" s="7" t="s">
        <v>76</v>
      </c>
      <c r="J147" s="62">
        <v>553.81194313230958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327</v>
      </c>
      <c r="C148" s="8"/>
      <c r="D148" s="8"/>
      <c r="E148" s="8"/>
      <c r="F148" s="8"/>
      <c r="G148" s="8"/>
      <c r="H148" s="8"/>
      <c r="I148" s="81" t="s">
        <v>328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82</v>
      </c>
      <c r="C149" s="8"/>
      <c r="D149" s="8"/>
      <c r="E149" s="8"/>
      <c r="F149" s="8"/>
      <c r="G149" s="8"/>
      <c r="H149" s="8"/>
      <c r="I149" s="81" t="s">
        <v>83</v>
      </c>
      <c r="J149" s="62">
        <v>-163.38931200351891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-163.38931200351891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5.7955154949327611E-2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234</v>
      </c>
      <c r="N155" s="78" t="s">
        <v>227</v>
      </c>
      <c r="O155" s="78">
        <v>1</v>
      </c>
      <c r="P155" s="78" t="s">
        <v>228</v>
      </c>
      <c r="Q155" s="78" t="s">
        <v>229</v>
      </c>
      <c r="R155" s="78" t="s">
        <v>230</v>
      </c>
      <c r="S155" s="78" t="s">
        <v>231</v>
      </c>
      <c r="U155" s="99"/>
    </row>
    <row r="156" spans="1:21" ht="20.100000000000001" customHeight="1">
      <c r="A156" s="9" t="s">
        <v>5</v>
      </c>
      <c r="B156" s="8" t="s">
        <v>222</v>
      </c>
      <c r="C156" s="8"/>
      <c r="D156" s="8"/>
      <c r="E156" s="8"/>
      <c r="F156" s="8"/>
      <c r="G156" s="8"/>
      <c r="H156" s="8"/>
      <c r="I156" s="7" t="s">
        <v>235</v>
      </c>
      <c r="J156" s="62">
        <v>1087.1167181091412</v>
      </c>
      <c r="K156" s="5" t="s">
        <v>223</v>
      </c>
      <c r="L156" s="3"/>
      <c r="M156" s="70" t="s">
        <v>233</v>
      </c>
      <c r="N156" s="102"/>
      <c r="O156" s="102"/>
      <c r="P156" s="102"/>
      <c r="Q156" s="102"/>
      <c r="R156" s="102"/>
      <c r="S156" s="122">
        <f>1/bolt.axial_stiffness</f>
        <v>9.1986442977285256E-4</v>
      </c>
      <c r="T156" s="1" t="s">
        <v>225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237</v>
      </c>
      <c r="J157" s="62">
        <v>147.47458220868361</v>
      </c>
      <c r="K157" s="5" t="s">
        <v>78</v>
      </c>
      <c r="L157" s="3"/>
      <c r="M157" s="70" t="s">
        <v>232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6780.8295166753005</v>
      </c>
      <c r="T157" s="1" t="s">
        <v>224</v>
      </c>
      <c r="U157" s="99"/>
    </row>
    <row r="158" spans="1:21" ht="20.100000000000001" customHeight="1">
      <c r="A158" s="9" t="s">
        <v>3</v>
      </c>
      <c r="B158" s="8" t="s">
        <v>284</v>
      </c>
      <c r="C158" s="8"/>
      <c r="D158" s="8"/>
      <c r="E158" s="8"/>
      <c r="F158" s="8"/>
      <c r="G158" s="8"/>
      <c r="H158" s="8"/>
      <c r="I158" s="7" t="s">
        <v>220</v>
      </c>
      <c r="J158" s="62">
        <v>1473.1493426522268</v>
      </c>
      <c r="K158" s="5" t="s">
        <v>219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240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238</v>
      </c>
      <c r="C161" s="11"/>
      <c r="D161" s="11"/>
      <c r="E161" s="11"/>
      <c r="F161" s="11"/>
      <c r="G161" s="11"/>
      <c r="H161" s="11"/>
      <c r="I161" s="10" t="s">
        <v>239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148.68397322195224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59.473589288780907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0">
        <v>16227528.242216157</v>
      </c>
      <c r="K164" s="5" t="s">
        <v>289</v>
      </c>
      <c r="L164" s="3"/>
      <c r="U164" s="100"/>
    </row>
    <row r="165" spans="1:21" ht="20.100000000000001" customHeight="1">
      <c r="A165" s="9" t="s">
        <v>6</v>
      </c>
      <c r="B165" s="8" t="s">
        <v>226</v>
      </c>
      <c r="C165" s="8"/>
      <c r="D165" s="8"/>
      <c r="E165" s="8"/>
      <c r="F165" s="8"/>
      <c r="G165" s="8"/>
      <c r="H165" s="8"/>
      <c r="I165" s="7" t="s">
        <v>236</v>
      </c>
      <c r="J165" s="92">
        <v>6489.7425600782899</v>
      </c>
      <c r="K165" s="5" t="s">
        <v>223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9.1833793327834798E-3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0.14518191132395747</v>
      </c>
      <c r="K167" s="5" t="s">
        <v>86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1"/>
  <sheetViews>
    <sheetView showGridLines="0" zoomScaleNormal="100" workbookViewId="0">
      <pane ySplit="1" topLeftCell="A120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405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-203.44740618573869</v>
      </c>
      <c r="P66" s="71">
        <v>-195.12229703436626</v>
      </c>
      <c r="Q66" s="71">
        <v>-186.7971878829938</v>
      </c>
      <c r="R66" s="71">
        <v>-178.47207873162139</v>
      </c>
      <c r="S66" s="71">
        <v>-170.14696958024894</v>
      </c>
      <c r="T66" s="71">
        <v>-161.82186042887651</v>
      </c>
      <c r="U66" s="71">
        <v>-153.49675127750407</v>
      </c>
      <c r="V66" s="71">
        <v>-145.17164212613162</v>
      </c>
      <c r="W66" s="71">
        <v>-136.84653297475919</v>
      </c>
      <c r="X66" s="71">
        <v>-128.52142382338675</v>
      </c>
      <c r="Y66" s="71">
        <v>-120.19631467201431</v>
      </c>
      <c r="Z66" s="71">
        <v>-111.87120552064188</v>
      </c>
      <c r="AA66" s="71">
        <v>-103.54609636926945</v>
      </c>
      <c r="AB66" s="71">
        <v>-95.220987217897004</v>
      </c>
      <c r="AC66" s="71">
        <v>-86.895878066524574</v>
      </c>
      <c r="AD66" s="71">
        <v>-78.570768915152129</v>
      </c>
      <c r="AE66" s="71">
        <v>-70.245659763779699</v>
      </c>
      <c r="AF66" s="71">
        <v>-61.920550612407268</v>
      </c>
      <c r="AG66" s="71">
        <v>-53.595441461034817</v>
      </c>
      <c r="AH66" s="71">
        <v>-45.270332309662393</v>
      </c>
      <c r="AI66" s="71">
        <v>-36.945223158289942</v>
      </c>
      <c r="AJ66" s="71">
        <v>-28.620114006917515</v>
      </c>
      <c r="AK66" s="71">
        <v>-20.295004855545063</v>
      </c>
      <c r="AL66" s="71">
        <v>-11.969895704172639</v>
      </c>
      <c r="AM66" s="71">
        <v>-3.6447865528002148</v>
      </c>
      <c r="AN66" s="71">
        <v>4.6803225985722383</v>
      </c>
      <c r="AO66" s="71">
        <v>13.005431749944663</v>
      </c>
      <c r="AP66" s="71">
        <v>21.330540901317114</v>
      </c>
      <c r="AQ66" s="71">
        <v>29.655650052689541</v>
      </c>
      <c r="AR66" s="71">
        <v>37.980759204061989</v>
      </c>
      <c r="AS66" s="71">
        <v>46.30586835543442</v>
      </c>
      <c r="AT66" s="71">
        <v>54.630977506806872</v>
      </c>
      <c r="AU66" s="71">
        <v>62.956086658179295</v>
      </c>
      <c r="AV66" s="71">
        <v>71.281195809551747</v>
      </c>
      <c r="AW66" s="71">
        <v>79.606304960924149</v>
      </c>
      <c r="AX66" s="71">
        <v>87.931414112296594</v>
      </c>
      <c r="AY66" s="71">
        <v>96.256523263669052</v>
      </c>
      <c r="AZ66" s="71">
        <v>104.5816324150415</v>
      </c>
      <c r="BA66" s="71">
        <v>112.9067415664139</v>
      </c>
      <c r="BB66" s="71">
        <v>121.23185071778634</v>
      </c>
      <c r="BC66" s="71">
        <v>129.55695986915882</v>
      </c>
      <c r="BD66" s="71">
        <v>137.88206902053119</v>
      </c>
      <c r="BE66" s="71">
        <v>146.20717817190365</v>
      </c>
      <c r="BF66" s="71">
        <v>154.53228732327611</v>
      </c>
      <c r="BG66" s="71">
        <v>162.85739647464857</v>
      </c>
      <c r="BH66" s="71">
        <v>171.18250562602094</v>
      </c>
      <c r="BI66" s="71">
        <v>179.5076147773934</v>
      </c>
      <c r="BJ66" s="71">
        <v>187.83272392876586</v>
      </c>
      <c r="BK66" s="71">
        <v>196.15783308013826</v>
      </c>
      <c r="BL66" s="71">
        <v>204.48294223151072</v>
      </c>
      <c r="BM66" s="71">
        <v>212.80805138288315</v>
      </c>
      <c r="BN66" s="71">
        <v>221.13316053425561</v>
      </c>
      <c r="BO66" s="71">
        <v>229.45826968562801</v>
      </c>
      <c r="BP66" s="71">
        <v>237.78337883700047</v>
      </c>
      <c r="BQ66" s="71">
        <v>246.10848798837293</v>
      </c>
      <c r="BR66" s="71">
        <v>254.43359713974536</v>
      </c>
      <c r="BS66" s="71">
        <v>262.75870629111779</v>
      </c>
      <c r="BT66" s="71">
        <v>271.08381544249022</v>
      </c>
      <c r="BU66" s="71">
        <v>279.40892459386265</v>
      </c>
      <c r="BV66" s="71">
        <v>287.73403374523508</v>
      </c>
      <c r="BW66" s="71">
        <v>296.05914289660751</v>
      </c>
      <c r="BX66" s="71">
        <v>304.38425204798</v>
      </c>
      <c r="BY66" s="71">
        <v>312.70936119935243</v>
      </c>
      <c r="BZ66" s="71">
        <v>321.0344703507248</v>
      </c>
      <c r="CA66" s="71">
        <v>329.35957950209729</v>
      </c>
      <c r="CB66" s="71">
        <v>337.68468865346972</v>
      </c>
      <c r="CC66" s="71">
        <v>346.00979780484215</v>
      </c>
      <c r="CD66" s="71">
        <v>354.33490695621464</v>
      </c>
      <c r="CE66" s="71">
        <v>362.66001610758696</v>
      </c>
      <c r="CF66" s="71">
        <v>370.98512525895944</v>
      </c>
      <c r="CG66" s="71">
        <v>379.31023441033187</v>
      </c>
      <c r="CH66" s="71">
        <v>387.6353435617043</v>
      </c>
      <c r="CI66" s="71">
        <v>395.96045271307679</v>
      </c>
      <c r="CJ66" s="71">
        <v>404.28556186444922</v>
      </c>
      <c r="CK66" s="71">
        <v>412.61067101582171</v>
      </c>
      <c r="CL66" s="71">
        <v>420.93578016719403</v>
      </c>
      <c r="CM66" s="71">
        <v>429.26088931856646</v>
      </c>
      <c r="CN66" s="71">
        <v>437.58599846993894</v>
      </c>
      <c r="CO66" s="71">
        <v>445.91110762131137</v>
      </c>
      <c r="CP66" s="71">
        <v>454.23621677268386</v>
      </c>
      <c r="CQ66" s="71">
        <v>462.56132592405629</v>
      </c>
      <c r="CR66" s="71">
        <v>470.88643507542872</v>
      </c>
      <c r="CS66" s="71">
        <v>479.2115442268011</v>
      </c>
      <c r="CT66" s="71">
        <v>487.53665337817353</v>
      </c>
      <c r="CU66" s="71">
        <v>495.86176252954601</v>
      </c>
      <c r="CV66" s="71">
        <v>504.18687168091844</v>
      </c>
      <c r="CW66" s="71">
        <v>512.51198083229087</v>
      </c>
      <c r="CX66" s="71">
        <v>520.8370899836633</v>
      </c>
      <c r="CY66" s="71">
        <v>529.16219913503573</v>
      </c>
      <c r="CZ66" s="71">
        <v>537.48730828640817</v>
      </c>
      <c r="DA66" s="71">
        <v>545.8124174377806</v>
      </c>
      <c r="DB66" s="71">
        <v>554.13752658915314</v>
      </c>
      <c r="DC66" s="71">
        <v>562.46263574052557</v>
      </c>
      <c r="DD66" s="71">
        <v>570.787744891898</v>
      </c>
      <c r="DE66" s="71">
        <v>579.11285404327043</v>
      </c>
      <c r="DF66" s="71">
        <v>587.43796319464286</v>
      </c>
      <c r="DG66" s="71">
        <v>595.76307234601518</v>
      </c>
      <c r="DH66" s="71">
        <v>604.08818149738761</v>
      </c>
      <c r="DI66" s="71">
        <v>612.41329064876004</v>
      </c>
      <c r="DJ66" s="71">
        <v>620.73839980013258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808.45742952984267</v>
      </c>
      <c r="P67" s="71">
        <v>808.45742952984267</v>
      </c>
      <c r="Q67" s="71">
        <v>808.45841191065472</v>
      </c>
      <c r="R67" s="71">
        <v>808.46216590193319</v>
      </c>
      <c r="S67" s="71">
        <v>808.4687291467626</v>
      </c>
      <c r="T67" s="71">
        <v>808.4781016451426</v>
      </c>
      <c r="U67" s="71">
        <v>808.49028339707365</v>
      </c>
      <c r="V67" s="71">
        <v>808.5052744025553</v>
      </c>
      <c r="W67" s="71">
        <v>808.52307466158777</v>
      </c>
      <c r="X67" s="71">
        <v>808.54368417417095</v>
      </c>
      <c r="Y67" s="71">
        <v>808.56710294030506</v>
      </c>
      <c r="Z67" s="71">
        <v>808.59333095998977</v>
      </c>
      <c r="AA67" s="71">
        <v>808.6223682332253</v>
      </c>
      <c r="AB67" s="71">
        <v>808.65421476001177</v>
      </c>
      <c r="AC67" s="71">
        <v>808.68887054034883</v>
      </c>
      <c r="AD67" s="71">
        <v>808.72633557423683</v>
      </c>
      <c r="AE67" s="71">
        <v>808.76660986167542</v>
      </c>
      <c r="AF67" s="71">
        <v>808.80969340266495</v>
      </c>
      <c r="AG67" s="71">
        <v>808.85558619720518</v>
      </c>
      <c r="AH67" s="71">
        <v>808.90428824529624</v>
      </c>
      <c r="AI67" s="71">
        <v>808.95579954693801</v>
      </c>
      <c r="AJ67" s="71">
        <v>809.01180627410338</v>
      </c>
      <c r="AK67" s="71">
        <v>809.13807616830854</v>
      </c>
      <c r="AL67" s="71">
        <v>809.368467430701</v>
      </c>
      <c r="AM67" s="71">
        <v>809.70298006128087</v>
      </c>
      <c r="AN67" s="71">
        <v>810.14161406004814</v>
      </c>
      <c r="AO67" s="71">
        <v>810.68436942700271</v>
      </c>
      <c r="AP67" s="71">
        <v>811.33124616214479</v>
      </c>
      <c r="AQ67" s="71">
        <v>812.08224426547429</v>
      </c>
      <c r="AR67" s="71">
        <v>812.93736373699107</v>
      </c>
      <c r="AS67" s="71">
        <v>813.89660457669538</v>
      </c>
      <c r="AT67" s="71">
        <v>814.95996678458687</v>
      </c>
      <c r="AU67" s="71">
        <v>816.12745036066588</v>
      </c>
      <c r="AV67" s="71">
        <v>817.39905530493229</v>
      </c>
      <c r="AW67" s="71">
        <v>818.774781617386</v>
      </c>
      <c r="AX67" s="71">
        <v>820.25462929802711</v>
      </c>
      <c r="AY67" s="71">
        <v>821.83859834685575</v>
      </c>
      <c r="AZ67" s="71">
        <v>823.52668876387168</v>
      </c>
      <c r="BA67" s="71">
        <v>825.31890054907501</v>
      </c>
      <c r="BB67" s="71">
        <v>827.21523370246564</v>
      </c>
      <c r="BC67" s="71">
        <v>829.21568822404367</v>
      </c>
      <c r="BD67" s="71">
        <v>831.32026411380923</v>
      </c>
      <c r="BE67" s="71">
        <v>833.52896137176208</v>
      </c>
      <c r="BF67" s="71">
        <v>835.84177999790234</v>
      </c>
      <c r="BG67" s="71">
        <v>838.25871999223</v>
      </c>
      <c r="BH67" s="71">
        <v>840.77978135474496</v>
      </c>
      <c r="BI67" s="71">
        <v>843.40496408544732</v>
      </c>
      <c r="BJ67" s="71">
        <v>846.1342681843372</v>
      </c>
      <c r="BK67" s="71">
        <v>848.96769365141438</v>
      </c>
      <c r="BL67" s="71">
        <v>851.90524048667885</v>
      </c>
      <c r="BM67" s="71">
        <v>854.94690869013084</v>
      </c>
      <c r="BN67" s="71">
        <v>858.09269826177024</v>
      </c>
      <c r="BO67" s="71">
        <v>861.34260920159693</v>
      </c>
      <c r="BP67" s="71">
        <v>864.69664150961103</v>
      </c>
      <c r="BQ67" s="71">
        <v>868.15479518581253</v>
      </c>
      <c r="BR67" s="71">
        <v>871.71707023020144</v>
      </c>
      <c r="BS67" s="71">
        <v>875.38346664277765</v>
      </c>
      <c r="BT67" s="71">
        <v>879.15398442354137</v>
      </c>
      <c r="BU67" s="71">
        <v>883.02862357249239</v>
      </c>
      <c r="BV67" s="71">
        <v>887.00738408963082</v>
      </c>
      <c r="BW67" s="71">
        <v>891.09026597495665</v>
      </c>
      <c r="BX67" s="71">
        <v>895.27726922846989</v>
      </c>
      <c r="BY67" s="71">
        <v>899.56839385017054</v>
      </c>
      <c r="BZ67" s="71">
        <v>903.96363984005848</v>
      </c>
      <c r="CA67" s="71">
        <v>908.46300719813382</v>
      </c>
      <c r="CB67" s="71">
        <v>913.06649592439669</v>
      </c>
      <c r="CC67" s="71">
        <v>917.77410601884685</v>
      </c>
      <c r="CD67" s="71">
        <v>922.58583748148442</v>
      </c>
      <c r="CE67" s="71">
        <v>927.50169031230917</v>
      </c>
      <c r="CF67" s="71">
        <v>932.52166451132155</v>
      </c>
      <c r="CG67" s="71">
        <v>937.64576007852122</v>
      </c>
      <c r="CH67" s="71">
        <v>942.8739770139083</v>
      </c>
      <c r="CI67" s="71">
        <v>948.20631531748279</v>
      </c>
      <c r="CJ67" s="71">
        <v>953.6427749892448</v>
      </c>
      <c r="CK67" s="71">
        <v>959.18335602919399</v>
      </c>
      <c r="CL67" s="71">
        <v>964.82805843733058</v>
      </c>
      <c r="CM67" s="71">
        <v>970.57688221365459</v>
      </c>
      <c r="CN67" s="71">
        <v>976.42982735816599</v>
      </c>
      <c r="CO67" s="71">
        <v>982.38689387086481</v>
      </c>
      <c r="CP67" s="71">
        <v>988.44808175175103</v>
      </c>
      <c r="CQ67" s="71">
        <v>994.61339100082455</v>
      </c>
      <c r="CR67" s="71">
        <v>1000.8828216180855</v>
      </c>
      <c r="CS67" s="71">
        <v>1007.2563736035337</v>
      </c>
      <c r="CT67" s="71">
        <v>1013.7340469571695</v>
      </c>
      <c r="CU67" s="71">
        <v>1020.3158416789926</v>
      </c>
      <c r="CV67" s="71">
        <v>1027.0017577690032</v>
      </c>
      <c r="CW67" s="71">
        <v>1033.791795227201</v>
      </c>
      <c r="CX67" s="71">
        <v>1040.6859540535863</v>
      </c>
      <c r="CY67" s="71">
        <v>1047.6842342481591</v>
      </c>
      <c r="CZ67" s="71">
        <v>1054.7866358109191</v>
      </c>
      <c r="DA67" s="71">
        <v>1061.9931587418664</v>
      </c>
      <c r="DB67" s="71">
        <v>1069.3038030410014</v>
      </c>
      <c r="DC67" s="71">
        <v>1076.7185687083236</v>
      </c>
      <c r="DD67" s="71">
        <v>1084.2374557438332</v>
      </c>
      <c r="DE67" s="71">
        <v>1091.8604641475304</v>
      </c>
      <c r="DF67" s="71">
        <v>1099.5875939194145</v>
      </c>
      <c r="DG67" s="71">
        <v>1107.4188450594861</v>
      </c>
      <c r="DH67" s="71">
        <v>1115.3542175677453</v>
      </c>
      <c r="DI67" s="71">
        <v>1123.3937114441919</v>
      </c>
      <c r="DJ67" s="71">
        <v>1131.5373266888259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-15.627260216570527</v>
      </c>
      <c r="P68" s="71">
        <v>-15.627260216570527</v>
      </c>
      <c r="Q68" s="71">
        <v>-15.605979693866573</v>
      </c>
      <c r="R68" s="71">
        <v>-15.524660010443451</v>
      </c>
      <c r="S68" s="71">
        <v>-15.382485734547014</v>
      </c>
      <c r="T68" s="71">
        <v>-15.179456866177258</v>
      </c>
      <c r="U68" s="71">
        <v>-14.915573405334186</v>
      </c>
      <c r="V68" s="71">
        <v>-14.590835352017795</v>
      </c>
      <c r="W68" s="71">
        <v>-14.205242706228086</v>
      </c>
      <c r="X68" s="71">
        <v>-13.758795467965058</v>
      </c>
      <c r="Y68" s="71">
        <v>-13.251493637228712</v>
      </c>
      <c r="Z68" s="71">
        <v>-12.683337214019049</v>
      </c>
      <c r="AA68" s="71">
        <v>-12.054326198336069</v>
      </c>
      <c r="AB68" s="71">
        <v>-11.364460590179769</v>
      </c>
      <c r="AC68" s="71">
        <v>-10.613740389550152</v>
      </c>
      <c r="AD68" s="71">
        <v>-9.8021655964472174</v>
      </c>
      <c r="AE68" s="71">
        <v>-8.9297362108709635</v>
      </c>
      <c r="AF68" s="71">
        <v>-7.9964522328213956</v>
      </c>
      <c r="AG68" s="71">
        <v>-7.0023136622985049</v>
      </c>
      <c r="AH68" s="71">
        <v>-5.9473204993022994</v>
      </c>
      <c r="AI68" s="71">
        <v>-4.8314727438327729</v>
      </c>
      <c r="AJ68" s="71">
        <v>-3.6518304890831059</v>
      </c>
      <c r="AK68" s="71">
        <v>-2.293725104525798</v>
      </c>
      <c r="AL68" s="71">
        <v>-0.69812349174175425</v>
      </c>
      <c r="AM68" s="71">
        <v>1.134974349269029</v>
      </c>
      <c r="AN68" s="71">
        <v>3.2055684185065592</v>
      </c>
      <c r="AO68" s="71">
        <v>5.5136587159708217</v>
      </c>
      <c r="AP68" s="71">
        <v>8.0592452416618343</v>
      </c>
      <c r="AQ68" s="71">
        <v>10.842327995579575</v>
      </c>
      <c r="AR68" s="71">
        <v>13.862906977724068</v>
      </c>
      <c r="AS68" s="71">
        <v>17.12098218809529</v>
      </c>
      <c r="AT68" s="71">
        <v>20.616553626693268</v>
      </c>
      <c r="AU68" s="71">
        <v>24.34962129351797</v>
      </c>
      <c r="AV68" s="71">
        <v>28.320185188569425</v>
      </c>
      <c r="AW68" s="71">
        <v>32.528245311847591</v>
      </c>
      <c r="AX68" s="71">
        <v>36.973801663352525</v>
      </c>
      <c r="AY68" s="71">
        <v>41.656854243084204</v>
      </c>
      <c r="AZ68" s="71">
        <v>46.577403051042616</v>
      </c>
      <c r="BA68" s="71">
        <v>51.735448087227745</v>
      </c>
      <c r="BB68" s="71">
        <v>57.130989351639649</v>
      </c>
      <c r="BC68" s="71">
        <v>62.764026844278284</v>
      </c>
      <c r="BD68" s="71">
        <v>68.63456056514363</v>
      </c>
      <c r="BE68" s="71">
        <v>74.742590514235758</v>
      </c>
      <c r="BF68" s="71">
        <v>81.088116691554603</v>
      </c>
      <c r="BG68" s="71">
        <v>87.671139097100209</v>
      </c>
      <c r="BH68" s="71">
        <v>94.491657730872504</v>
      </c>
      <c r="BI68" s="71">
        <v>101.54967259287159</v>
      </c>
      <c r="BJ68" s="71">
        <v>108.84518368309742</v>
      </c>
      <c r="BK68" s="71">
        <v>116.37819100154994</v>
      </c>
      <c r="BL68" s="71">
        <v>124.14869454822923</v>
      </c>
      <c r="BM68" s="71">
        <v>132.1566943231353</v>
      </c>
      <c r="BN68" s="71">
        <v>140.40219032626808</v>
      </c>
      <c r="BO68" s="71">
        <v>148.88518255762753</v>
      </c>
      <c r="BP68" s="71">
        <v>157.60567101721381</v>
      </c>
      <c r="BQ68" s="71">
        <v>166.5636557050268</v>
      </c>
      <c r="BR68" s="71">
        <v>175.75913662106657</v>
      </c>
      <c r="BS68" s="71">
        <v>185.19211376533298</v>
      </c>
      <c r="BT68" s="71">
        <v>194.86258713782624</v>
      </c>
      <c r="BU68" s="71">
        <v>204.77055673854619</v>
      </c>
      <c r="BV68" s="71">
        <v>214.91602256749286</v>
      </c>
      <c r="BW68" s="71">
        <v>225.29898462466628</v>
      </c>
      <c r="BX68" s="71">
        <v>235.91944291006646</v>
      </c>
      <c r="BY68" s="71">
        <v>246.77739742369343</v>
      </c>
      <c r="BZ68" s="71">
        <v>257.87284816554705</v>
      </c>
      <c r="CA68" s="71">
        <v>269.20579513562745</v>
      </c>
      <c r="CB68" s="71">
        <v>280.7762383339346</v>
      </c>
      <c r="CC68" s="71">
        <v>292.58417776046855</v>
      </c>
      <c r="CD68" s="71">
        <v>304.62961341522913</v>
      </c>
      <c r="CE68" s="71">
        <v>316.91254529821634</v>
      </c>
      <c r="CF68" s="71">
        <v>329.43297340943047</v>
      </c>
      <c r="CG68" s="71">
        <v>342.19089774887135</v>
      </c>
      <c r="CH68" s="71">
        <v>355.18631831653892</v>
      </c>
      <c r="CI68" s="71">
        <v>368.41923511243323</v>
      </c>
      <c r="CJ68" s="71">
        <v>381.88964813655434</v>
      </c>
      <c r="CK68" s="71">
        <v>395.59755738890215</v>
      </c>
      <c r="CL68" s="71">
        <v>409.54296286947658</v>
      </c>
      <c r="CM68" s="71">
        <v>423.72586457827788</v>
      </c>
      <c r="CN68" s="71">
        <v>438.14626251530586</v>
      </c>
      <c r="CO68" s="71">
        <v>452.80415668056065</v>
      </c>
      <c r="CP68" s="71">
        <v>467.69954707404224</v>
      </c>
      <c r="CQ68" s="71">
        <v>482.83243369575047</v>
      </c>
      <c r="CR68" s="71">
        <v>498.20281654568544</v>
      </c>
      <c r="CS68" s="71">
        <v>513.8106956238471</v>
      </c>
      <c r="CT68" s="71">
        <v>529.6560709302355</v>
      </c>
      <c r="CU68" s="71">
        <v>545.73894246485065</v>
      </c>
      <c r="CV68" s="71">
        <v>562.05931022769266</v>
      </c>
      <c r="CW68" s="71">
        <v>578.61717421876142</v>
      </c>
      <c r="CX68" s="71">
        <v>595.41253443805681</v>
      </c>
      <c r="CY68" s="71">
        <v>612.44539088557895</v>
      </c>
      <c r="CZ68" s="71">
        <v>629.71574356132783</v>
      </c>
      <c r="DA68" s="71">
        <v>647.22359246530357</v>
      </c>
      <c r="DB68" s="71">
        <v>664.96893759750594</v>
      </c>
      <c r="DC68" s="71">
        <v>682.95177895793506</v>
      </c>
      <c r="DD68" s="71">
        <v>701.17211654659104</v>
      </c>
      <c r="DE68" s="71">
        <v>719.62995036347365</v>
      </c>
      <c r="DF68" s="71">
        <v>738.32528040858313</v>
      </c>
      <c r="DG68" s="71">
        <v>757.25810668191866</v>
      </c>
      <c r="DH68" s="71">
        <v>776.4284291834814</v>
      </c>
      <c r="DI68" s="71">
        <v>795.83624791327111</v>
      </c>
      <c r="DJ68" s="71">
        <v>815.48156287128768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591.17942838107865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38.295639246475638</v>
      </c>
      <c r="K85" s="79">
        <v>812.97175042755623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-193.75943446260828</v>
      </c>
      <c r="K86" s="79">
        <v>808.45742952984267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809882.20306039508</v>
      </c>
      <c r="J89" s="80">
        <v>5.1910228954207986E-2</v>
      </c>
      <c r="K89" s="80">
        <v>7.5115575332520518E-7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809218.29309274117</v>
      </c>
      <c r="J90" s="80">
        <v>7.8536930602498851E-3</v>
      </c>
      <c r="K90" s="80">
        <v>2.0266608131965549E-8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808457.42952984269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-3.8739940009563685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591.17942838107865</v>
      </c>
      <c r="K114" s="79">
        <v>746.80467576051831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38.295639246475638</v>
      </c>
      <c r="K115" s="79">
        <v>13.981815412922563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-193.75943446260828</v>
      </c>
      <c r="K116" s="79">
        <v>-15.627260216570527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2.012266098893976</v>
      </c>
      <c r="J119" s="80">
        <v>2.4694250853548276E-4</v>
      </c>
      <c r="K119" s="80">
        <v>1.7133529969034934E-9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0.85471309449710398</v>
      </c>
      <c r="J120" s="80">
        <v>1.7012821447152108E-4</v>
      </c>
      <c r="K120" s="80">
        <v>4.3901917587489766E-10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-15.627260216570527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41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40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41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11" t="s">
        <v>84</v>
      </c>
      <c r="C137" s="8"/>
      <c r="D137" s="8"/>
      <c r="E137" s="8"/>
      <c r="F137" s="8"/>
      <c r="G137" s="8"/>
      <c r="H137" s="8"/>
      <c r="I137" s="10" t="s">
        <v>404</v>
      </c>
      <c r="J137" s="141">
        <v>2.5</v>
      </c>
      <c r="K137" s="93" t="s">
        <v>86</v>
      </c>
      <c r="L137" s="3"/>
      <c r="U137" s="99"/>
    </row>
    <row r="138" spans="1:21" ht="20.100000000000001" customHeight="1">
      <c r="A138" s="9" t="s">
        <v>35</v>
      </c>
      <c r="B138" s="8" t="s">
        <v>79</v>
      </c>
      <c r="C138" s="8"/>
      <c r="D138" s="8"/>
      <c r="E138" s="8"/>
      <c r="F138" s="8"/>
      <c r="G138" s="8"/>
      <c r="H138" s="8"/>
      <c r="I138" s="7" t="s">
        <v>80</v>
      </c>
      <c r="J138" s="62">
        <v>1572.3994283968</v>
      </c>
      <c r="K138" s="5" t="s">
        <v>81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250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251</v>
      </c>
      <c r="C141" s="8"/>
      <c r="D141" s="8"/>
      <c r="E141" s="8"/>
      <c r="F141" s="8"/>
      <c r="G141" s="8"/>
      <c r="H141" s="8"/>
      <c r="I141" s="7" t="s">
        <v>252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248</v>
      </c>
      <c r="C142" s="8"/>
      <c r="D142" s="8"/>
      <c r="E142" s="8"/>
      <c r="F142" s="8"/>
      <c r="G142" s="8"/>
      <c r="H142" s="8"/>
      <c r="I142" s="7" t="s">
        <v>249</v>
      </c>
      <c r="J142" s="62">
        <v>23151.127636464935</v>
      </c>
      <c r="K142" s="5" t="s">
        <v>81</v>
      </c>
      <c r="L142" s="3"/>
      <c r="U142" s="99"/>
    </row>
    <row r="143" spans="1:21" ht="20.100000000000001" customHeight="1">
      <c r="A143" s="9" t="s">
        <v>3</v>
      </c>
      <c r="B143" s="8" t="s">
        <v>84</v>
      </c>
      <c r="C143" s="8"/>
      <c r="D143" s="8"/>
      <c r="E143" s="8"/>
      <c r="F143" s="8"/>
      <c r="G143" s="8"/>
      <c r="H143" s="8"/>
      <c r="I143" s="82" t="s">
        <v>85</v>
      </c>
      <c r="J143" s="6">
        <v>1.0679189131988605</v>
      </c>
      <c r="K143" s="5" t="s">
        <v>86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75</v>
      </c>
      <c r="C147" s="8"/>
      <c r="D147" s="8"/>
      <c r="E147" s="8"/>
      <c r="F147" s="8"/>
      <c r="G147" s="8"/>
      <c r="H147" s="8"/>
      <c r="I147" s="7" t="s">
        <v>76</v>
      </c>
      <c r="J147" s="62">
        <v>553.58082067322016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327</v>
      </c>
      <c r="C148" s="8"/>
      <c r="D148" s="8"/>
      <c r="E148" s="8"/>
      <c r="F148" s="8"/>
      <c r="G148" s="8"/>
      <c r="H148" s="8"/>
      <c r="I148" s="81" t="s">
        <v>328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82</v>
      </c>
      <c r="C149" s="8"/>
      <c r="D149" s="8"/>
      <c r="E149" s="8"/>
      <c r="F149" s="8"/>
      <c r="G149" s="8"/>
      <c r="H149" s="8"/>
      <c r="I149" s="81" t="s">
        <v>83</v>
      </c>
      <c r="J149" s="62">
        <v>-163.62043446260827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-163.62043446260827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5.8037135451996631E-2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234</v>
      </c>
      <c r="N155" s="78" t="s">
        <v>227</v>
      </c>
      <c r="O155" s="78">
        <v>1</v>
      </c>
      <c r="P155" s="78" t="s">
        <v>228</v>
      </c>
      <c r="Q155" s="78" t="s">
        <v>229</v>
      </c>
      <c r="R155" s="78" t="s">
        <v>230</v>
      </c>
      <c r="S155" s="78" t="s">
        <v>231</v>
      </c>
      <c r="U155" s="99"/>
    </row>
    <row r="156" spans="1:21" ht="20.100000000000001" customHeight="1">
      <c r="A156" s="9" t="s">
        <v>5</v>
      </c>
      <c r="B156" s="8" t="s">
        <v>222</v>
      </c>
      <c r="C156" s="8"/>
      <c r="D156" s="8"/>
      <c r="E156" s="8"/>
      <c r="F156" s="8"/>
      <c r="G156" s="8"/>
      <c r="H156" s="8"/>
      <c r="I156" s="7" t="s">
        <v>235</v>
      </c>
      <c r="J156" s="62">
        <v>1087.1167181091412</v>
      </c>
      <c r="K156" s="5" t="s">
        <v>223</v>
      </c>
      <c r="L156" s="3"/>
      <c r="M156" s="70" t="s">
        <v>233</v>
      </c>
      <c r="N156" s="102"/>
      <c r="O156" s="102"/>
      <c r="P156" s="102"/>
      <c r="Q156" s="102"/>
      <c r="R156" s="102"/>
      <c r="S156" s="122">
        <f>1/bolt.axial_stiffness</f>
        <v>9.1986442977285256E-4</v>
      </c>
      <c r="T156" s="1" t="s">
        <v>225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237</v>
      </c>
      <c r="J157" s="62">
        <v>147.47458220868361</v>
      </c>
      <c r="K157" s="5" t="s">
        <v>78</v>
      </c>
      <c r="L157" s="3"/>
      <c r="M157" s="70" t="s">
        <v>232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6780.8295166753005</v>
      </c>
      <c r="T157" s="1" t="s">
        <v>224</v>
      </c>
      <c r="U157" s="99"/>
    </row>
    <row r="158" spans="1:21" ht="20.100000000000001" customHeight="1">
      <c r="A158" s="9" t="s">
        <v>3</v>
      </c>
      <c r="B158" s="8" t="s">
        <v>284</v>
      </c>
      <c r="C158" s="8"/>
      <c r="D158" s="8"/>
      <c r="E158" s="8"/>
      <c r="F158" s="8"/>
      <c r="G158" s="8"/>
      <c r="H158" s="8"/>
      <c r="I158" s="7" t="s">
        <v>220</v>
      </c>
      <c r="J158" s="62">
        <v>1473.1493426522268</v>
      </c>
      <c r="K158" s="5" t="s">
        <v>219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240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238</v>
      </c>
      <c r="C161" s="11"/>
      <c r="D161" s="11"/>
      <c r="E161" s="11"/>
      <c r="F161" s="11"/>
      <c r="G161" s="11"/>
      <c r="H161" s="11"/>
      <c r="I161" s="10" t="s">
        <v>239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148.68397322195224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59.473589288780907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0">
        <v>16227528.242216157</v>
      </c>
      <c r="K164" s="5" t="s">
        <v>289</v>
      </c>
      <c r="L164" s="3"/>
      <c r="U164" s="100"/>
    </row>
    <row r="165" spans="1:21" ht="20.100000000000001" customHeight="1">
      <c r="A165" s="9" t="s">
        <v>6</v>
      </c>
      <c r="B165" s="8" t="s">
        <v>226</v>
      </c>
      <c r="C165" s="8"/>
      <c r="D165" s="8"/>
      <c r="E165" s="8"/>
      <c r="F165" s="8"/>
      <c r="G165" s="8"/>
      <c r="H165" s="8"/>
      <c r="I165" s="7" t="s">
        <v>236</v>
      </c>
      <c r="J165" s="92">
        <v>6489.7425600782899</v>
      </c>
      <c r="K165" s="5" t="s">
        <v>223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6.6320624552712662E-3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0.14366501658813399</v>
      </c>
      <c r="K167" s="5" t="s">
        <v>86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1"/>
  <sheetViews>
    <sheetView showGridLines="0" zoomScaleNormal="100" workbookViewId="0">
      <pane ySplit="1" topLeftCell="A126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405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-186.23582141459764</v>
      </c>
      <c r="P66" s="71">
        <v>-178.05294156493864</v>
      </c>
      <c r="Q66" s="71">
        <v>-169.87006171527969</v>
      </c>
      <c r="R66" s="71">
        <v>-161.68718186562069</v>
      </c>
      <c r="S66" s="71">
        <v>-153.50430201596174</v>
      </c>
      <c r="T66" s="71">
        <v>-145.32142216630274</v>
      </c>
      <c r="U66" s="71">
        <v>-137.13854231664376</v>
      </c>
      <c r="V66" s="71">
        <v>-128.95566246698479</v>
      </c>
      <c r="W66" s="71">
        <v>-120.77278261732582</v>
      </c>
      <c r="X66" s="71">
        <v>-112.58990276766684</v>
      </c>
      <c r="Y66" s="71">
        <v>-104.40702291800787</v>
      </c>
      <c r="Z66" s="71">
        <v>-96.224143068348909</v>
      </c>
      <c r="AA66" s="71">
        <v>-88.04126321868992</v>
      </c>
      <c r="AB66" s="71">
        <v>-79.858383369030946</v>
      </c>
      <c r="AC66" s="71">
        <v>-71.675503519371972</v>
      </c>
      <c r="AD66" s="71">
        <v>-63.492623669712991</v>
      </c>
      <c r="AE66" s="71">
        <v>-55.309743820054017</v>
      </c>
      <c r="AF66" s="71">
        <v>-47.126863970395036</v>
      </c>
      <c r="AG66" s="71">
        <v>-38.943984120736076</v>
      </c>
      <c r="AH66" s="71">
        <v>-30.761104271077084</v>
      </c>
      <c r="AI66" s="71">
        <v>-22.578224421418128</v>
      </c>
      <c r="AJ66" s="71">
        <v>-14.395344571759139</v>
      </c>
      <c r="AK66" s="71">
        <v>-6.2124647221001794</v>
      </c>
      <c r="AL66" s="71">
        <v>1.9704151275588082</v>
      </c>
      <c r="AM66" s="71">
        <v>10.153294977217795</v>
      </c>
      <c r="AN66" s="71">
        <v>18.336174826876753</v>
      </c>
      <c r="AO66" s="71">
        <v>26.519054676535742</v>
      </c>
      <c r="AP66" s="71">
        <v>34.701934526194705</v>
      </c>
      <c r="AQ66" s="71">
        <v>42.884814375853686</v>
      </c>
      <c r="AR66" s="71">
        <v>51.067694225512646</v>
      </c>
      <c r="AS66" s="71">
        <v>59.250574075171635</v>
      </c>
      <c r="AT66" s="71">
        <v>67.433453924830602</v>
      </c>
      <c r="AU66" s="71">
        <v>75.61633377448959</v>
      </c>
      <c r="AV66" s="71">
        <v>83.799213624148578</v>
      </c>
      <c r="AW66" s="71">
        <v>91.982093473807566</v>
      </c>
      <c r="AX66" s="71">
        <v>100.16497332346648</v>
      </c>
      <c r="AY66" s="71">
        <v>108.34785317312547</v>
      </c>
      <c r="AZ66" s="71">
        <v>116.53073302278446</v>
      </c>
      <c r="BA66" s="71">
        <v>124.71361287244345</v>
      </c>
      <c r="BB66" s="71">
        <v>132.89649272210238</v>
      </c>
      <c r="BC66" s="71">
        <v>141.07937257176138</v>
      </c>
      <c r="BD66" s="71">
        <v>149.26225242142036</v>
      </c>
      <c r="BE66" s="71">
        <v>157.44513227107936</v>
      </c>
      <c r="BF66" s="71">
        <v>165.62801212073833</v>
      </c>
      <c r="BG66" s="71">
        <v>173.81089197039725</v>
      </c>
      <c r="BH66" s="71">
        <v>181.99377182005625</v>
      </c>
      <c r="BI66" s="71">
        <v>190.17665166971523</v>
      </c>
      <c r="BJ66" s="71">
        <v>198.35953151937423</v>
      </c>
      <c r="BK66" s="71">
        <v>206.5424113690332</v>
      </c>
      <c r="BL66" s="71">
        <v>214.72529121869215</v>
      </c>
      <c r="BM66" s="71">
        <v>222.90817106835112</v>
      </c>
      <c r="BN66" s="71">
        <v>231.09105091801013</v>
      </c>
      <c r="BO66" s="71">
        <v>239.2739307676691</v>
      </c>
      <c r="BP66" s="71">
        <v>247.45681061732805</v>
      </c>
      <c r="BQ66" s="71">
        <v>255.63969046698702</v>
      </c>
      <c r="BR66" s="71">
        <v>263.82257031664602</v>
      </c>
      <c r="BS66" s="71">
        <v>272.00545016630502</v>
      </c>
      <c r="BT66" s="71">
        <v>280.18833001596397</v>
      </c>
      <c r="BU66" s="71">
        <v>288.37120986562292</v>
      </c>
      <c r="BV66" s="71">
        <v>296.55408971528192</v>
      </c>
      <c r="BW66" s="71">
        <v>304.73696956494092</v>
      </c>
      <c r="BX66" s="71">
        <v>312.91984941459987</v>
      </c>
      <c r="BY66" s="71">
        <v>321.10272926425881</v>
      </c>
      <c r="BZ66" s="71">
        <v>329.28560911391781</v>
      </c>
      <c r="CA66" s="71">
        <v>337.46848896357682</v>
      </c>
      <c r="CB66" s="71">
        <v>345.65136881323571</v>
      </c>
      <c r="CC66" s="71">
        <v>353.83424866289477</v>
      </c>
      <c r="CD66" s="71">
        <v>362.01712851255371</v>
      </c>
      <c r="CE66" s="71">
        <v>370.20000836221277</v>
      </c>
      <c r="CF66" s="71">
        <v>378.38288821187166</v>
      </c>
      <c r="CG66" s="71">
        <v>386.5657680615306</v>
      </c>
      <c r="CH66" s="71">
        <v>394.74864791118966</v>
      </c>
      <c r="CI66" s="71">
        <v>402.93152776084855</v>
      </c>
      <c r="CJ66" s="71">
        <v>411.11440761050761</v>
      </c>
      <c r="CK66" s="71">
        <v>419.29728746016656</v>
      </c>
      <c r="CL66" s="71">
        <v>427.4801673098255</v>
      </c>
      <c r="CM66" s="71">
        <v>435.66304715948451</v>
      </c>
      <c r="CN66" s="71">
        <v>443.84592700914345</v>
      </c>
      <c r="CO66" s="71">
        <v>452.0288068588024</v>
      </c>
      <c r="CP66" s="71">
        <v>460.21168670846146</v>
      </c>
      <c r="CQ66" s="71">
        <v>468.39456655812035</v>
      </c>
      <c r="CR66" s="71">
        <v>476.57744640777941</v>
      </c>
      <c r="CS66" s="71">
        <v>484.76032625743835</v>
      </c>
      <c r="CT66" s="71">
        <v>492.9432061070973</v>
      </c>
      <c r="CU66" s="71">
        <v>501.1260859567563</v>
      </c>
      <c r="CV66" s="71">
        <v>509.30896580641524</v>
      </c>
      <c r="CW66" s="71">
        <v>517.49184565607425</v>
      </c>
      <c r="CX66" s="71">
        <v>525.67472550573314</v>
      </c>
      <c r="CY66" s="71">
        <v>533.85760535539225</v>
      </c>
      <c r="CZ66" s="71">
        <v>542.04048520505125</v>
      </c>
      <c r="DA66" s="71">
        <v>550.22336505471003</v>
      </c>
      <c r="DB66" s="71">
        <v>558.40624490436915</v>
      </c>
      <c r="DC66" s="71">
        <v>566.58912475402815</v>
      </c>
      <c r="DD66" s="71">
        <v>574.77200460368692</v>
      </c>
      <c r="DE66" s="71">
        <v>582.95488445334604</v>
      </c>
      <c r="DF66" s="71">
        <v>591.13776430300504</v>
      </c>
      <c r="DG66" s="71">
        <v>599.32064415266416</v>
      </c>
      <c r="DH66" s="71">
        <v>607.50352400232293</v>
      </c>
      <c r="DI66" s="71">
        <v>615.68640385198194</v>
      </c>
      <c r="DJ66" s="71">
        <v>623.86928370164105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808.89487787919518</v>
      </c>
      <c r="P67" s="71">
        <v>808.89487787919518</v>
      </c>
      <c r="Q67" s="71">
        <v>808.89515048212991</v>
      </c>
      <c r="R67" s="71">
        <v>808.89607026707472</v>
      </c>
      <c r="S67" s="71">
        <v>808.89763951288171</v>
      </c>
      <c r="T67" s="71">
        <v>808.89985821955111</v>
      </c>
      <c r="U67" s="71">
        <v>808.90272638708268</v>
      </c>
      <c r="V67" s="71">
        <v>808.90624401547666</v>
      </c>
      <c r="W67" s="71">
        <v>808.91041110473293</v>
      </c>
      <c r="X67" s="71">
        <v>808.91522765485138</v>
      </c>
      <c r="Y67" s="71">
        <v>808.92069366583212</v>
      </c>
      <c r="Z67" s="71">
        <v>808.92680913767538</v>
      </c>
      <c r="AA67" s="71">
        <v>808.9335740703807</v>
      </c>
      <c r="AB67" s="71">
        <v>808.94098846394832</v>
      </c>
      <c r="AC67" s="71">
        <v>808.94905231837834</v>
      </c>
      <c r="AD67" s="71">
        <v>808.95776563367065</v>
      </c>
      <c r="AE67" s="71">
        <v>808.96712840982514</v>
      </c>
      <c r="AF67" s="71">
        <v>808.97714064684192</v>
      </c>
      <c r="AG67" s="71">
        <v>808.98780234472099</v>
      </c>
      <c r="AH67" s="71">
        <v>808.99911350346247</v>
      </c>
      <c r="AI67" s="71">
        <v>809.05380137179952</v>
      </c>
      <c r="AJ67" s="71">
        <v>809.20894494002766</v>
      </c>
      <c r="AK67" s="71">
        <v>809.46483347495302</v>
      </c>
      <c r="AL67" s="71">
        <v>809.82146697657572</v>
      </c>
      <c r="AM67" s="71">
        <v>810.2788454448953</v>
      </c>
      <c r="AN67" s="71">
        <v>810.83696887991232</v>
      </c>
      <c r="AO67" s="71">
        <v>811.49583728162634</v>
      </c>
      <c r="AP67" s="71">
        <v>812.25545065003746</v>
      </c>
      <c r="AQ67" s="71">
        <v>813.11580898514592</v>
      </c>
      <c r="AR67" s="71">
        <v>814.07691228695148</v>
      </c>
      <c r="AS67" s="71">
        <v>815.13876055545416</v>
      </c>
      <c r="AT67" s="71">
        <v>816.30135379065405</v>
      </c>
      <c r="AU67" s="71">
        <v>817.56469199255116</v>
      </c>
      <c r="AV67" s="71">
        <v>818.92877516114538</v>
      </c>
      <c r="AW67" s="71">
        <v>820.39360329643682</v>
      </c>
      <c r="AX67" s="71">
        <v>821.95917639842537</v>
      </c>
      <c r="AY67" s="71">
        <v>823.62549446711114</v>
      </c>
      <c r="AZ67" s="71">
        <v>825.39255750249413</v>
      </c>
      <c r="BA67" s="71">
        <v>827.26036550457411</v>
      </c>
      <c r="BB67" s="71">
        <v>829.22891847335143</v>
      </c>
      <c r="BC67" s="71">
        <v>831.29821640882585</v>
      </c>
      <c r="BD67" s="71">
        <v>833.4682593109975</v>
      </c>
      <c r="BE67" s="71">
        <v>835.73904717986625</v>
      </c>
      <c r="BF67" s="71">
        <v>838.11058001543222</v>
      </c>
      <c r="BG67" s="71">
        <v>840.5828578176953</v>
      </c>
      <c r="BH67" s="71">
        <v>843.1558805866556</v>
      </c>
      <c r="BI67" s="71">
        <v>845.82964832231301</v>
      </c>
      <c r="BJ67" s="71">
        <v>848.60416102466752</v>
      </c>
      <c r="BK67" s="71">
        <v>851.47941869371948</v>
      </c>
      <c r="BL67" s="71">
        <v>854.45542132946832</v>
      </c>
      <c r="BM67" s="71">
        <v>857.5321689319145</v>
      </c>
      <c r="BN67" s="71">
        <v>860.70966150105778</v>
      </c>
      <c r="BO67" s="71">
        <v>863.98789903689828</v>
      </c>
      <c r="BP67" s="71">
        <v>867.36688153943578</v>
      </c>
      <c r="BQ67" s="71">
        <v>870.84660900867061</v>
      </c>
      <c r="BR67" s="71">
        <v>874.42708144460266</v>
      </c>
      <c r="BS67" s="71">
        <v>878.10829884723182</v>
      </c>
      <c r="BT67" s="71">
        <v>881.8902612165582</v>
      </c>
      <c r="BU67" s="71">
        <v>885.77296855258157</v>
      </c>
      <c r="BV67" s="71">
        <v>889.75642085530228</v>
      </c>
      <c r="BW67" s="71">
        <v>893.84061812472009</v>
      </c>
      <c r="BX67" s="71">
        <v>898.02556036083502</v>
      </c>
      <c r="BY67" s="71">
        <v>902.31124756364727</v>
      </c>
      <c r="BZ67" s="71">
        <v>906.69767973315652</v>
      </c>
      <c r="CA67" s="71">
        <v>911.1848568693631</v>
      </c>
      <c r="CB67" s="71">
        <v>915.77277897226668</v>
      </c>
      <c r="CC67" s="71">
        <v>920.46144604186759</v>
      </c>
      <c r="CD67" s="71">
        <v>925.25085807816561</v>
      </c>
      <c r="CE67" s="71">
        <v>930.14101508116084</v>
      </c>
      <c r="CF67" s="71">
        <v>935.13191705085319</v>
      </c>
      <c r="CG67" s="71">
        <v>940.22356398724264</v>
      </c>
      <c r="CH67" s="71">
        <v>945.41595589032931</v>
      </c>
      <c r="CI67" s="71">
        <v>950.70909276011321</v>
      </c>
      <c r="CJ67" s="71">
        <v>956.10297459659421</v>
      </c>
      <c r="CK67" s="71">
        <v>961.59760139977243</v>
      </c>
      <c r="CL67" s="71">
        <v>967.19297316964776</v>
      </c>
      <c r="CM67" s="71">
        <v>972.88908990622031</v>
      </c>
      <c r="CN67" s="71">
        <v>978.68595160948996</v>
      </c>
      <c r="CO67" s="71">
        <v>984.58355827945695</v>
      </c>
      <c r="CP67" s="71">
        <v>990.58190991612105</v>
      </c>
      <c r="CQ67" s="71">
        <v>996.68100651948225</v>
      </c>
      <c r="CR67" s="71">
        <v>1002.8808480895406</v>
      </c>
      <c r="CS67" s="71">
        <v>1009.1814346262962</v>
      </c>
      <c r="CT67" s="71">
        <v>1015.5827661297488</v>
      </c>
      <c r="CU67" s="71">
        <v>1022.0848425998988</v>
      </c>
      <c r="CV67" s="71">
        <v>1028.6876640367459</v>
      </c>
      <c r="CW67" s="71">
        <v>1035.39123044029</v>
      </c>
      <c r="CX67" s="71">
        <v>1042.1955418105315</v>
      </c>
      <c r="CY67" s="71">
        <v>1049.10059814747</v>
      </c>
      <c r="CZ67" s="71">
        <v>1056.1063994511057</v>
      </c>
      <c r="DA67" s="71">
        <v>1063.2129457214387</v>
      </c>
      <c r="DB67" s="71">
        <v>1070.4202369584689</v>
      </c>
      <c r="DC67" s="71">
        <v>1077.728273162196</v>
      </c>
      <c r="DD67" s="71">
        <v>1085.1370543326204</v>
      </c>
      <c r="DE67" s="71">
        <v>1092.646580469742</v>
      </c>
      <c r="DF67" s="71">
        <v>1100.2568515735609</v>
      </c>
      <c r="DG67" s="71">
        <v>1107.9678676440769</v>
      </c>
      <c r="DH67" s="71">
        <v>1115.77962868129</v>
      </c>
      <c r="DI67" s="71">
        <v>1123.6921346852002</v>
      </c>
      <c r="DJ67" s="71">
        <v>1131.7053856558077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-13.901953063015332</v>
      </c>
      <c r="P68" s="71">
        <v>-13.901953063015332</v>
      </c>
      <c r="Q68" s="71">
        <v>-13.876194098577443</v>
      </c>
      <c r="R68" s="71">
        <v>-13.789281212987529</v>
      </c>
      <c r="S68" s="71">
        <v>-13.640999071529128</v>
      </c>
      <c r="T68" s="71">
        <v>-13.431347674202238</v>
      </c>
      <c r="U68" s="71">
        <v>-13.160327021006857</v>
      </c>
      <c r="V68" s="71">
        <v>-12.82793711194299</v>
      </c>
      <c r="W68" s="71">
        <v>-12.434177947010634</v>
      </c>
      <c r="X68" s="71">
        <v>-11.979049526209788</v>
      </c>
      <c r="Y68" s="71">
        <v>-11.462551849540452</v>
      </c>
      <c r="Z68" s="71">
        <v>-10.884684917002627</v>
      </c>
      <c r="AA68" s="71">
        <v>-10.245448728596312</v>
      </c>
      <c r="AB68" s="71">
        <v>-9.5448432843215105</v>
      </c>
      <c r="AC68" s="71">
        <v>-8.7828685841782193</v>
      </c>
      <c r="AD68" s="71">
        <v>-7.9595246281664389</v>
      </c>
      <c r="AE68" s="71">
        <v>-7.0748114162861695</v>
      </c>
      <c r="AF68" s="71">
        <v>-6.1287289485374092</v>
      </c>
      <c r="AG68" s="71">
        <v>-5.1212772249201644</v>
      </c>
      <c r="AH68" s="71">
        <v>-4.052456245434426</v>
      </c>
      <c r="AI68" s="71">
        <v>-2.8503710702063527</v>
      </c>
      <c r="AJ68" s="71">
        <v>-1.418977823324638</v>
      </c>
      <c r="AK68" s="71">
        <v>0.24221022956025262</v>
      </c>
      <c r="AL68" s="71">
        <v>2.1331930884483303</v>
      </c>
      <c r="AM68" s="71">
        <v>4.2539707533395905</v>
      </c>
      <c r="AN68" s="71">
        <v>6.604543224234023</v>
      </c>
      <c r="AO68" s="71">
        <v>9.184910501131645</v>
      </c>
      <c r="AP68" s="71">
        <v>11.995072584032439</v>
      </c>
      <c r="AQ68" s="71">
        <v>15.035029472936426</v>
      </c>
      <c r="AR68" s="71">
        <v>18.304781167843583</v>
      </c>
      <c r="AS68" s="71">
        <v>21.804327668753928</v>
      </c>
      <c r="AT68" s="71">
        <v>25.533668975667446</v>
      </c>
      <c r="AU68" s="71">
        <v>29.492805088584156</v>
      </c>
      <c r="AV68" s="71">
        <v>33.681736007504043</v>
      </c>
      <c r="AW68" s="71">
        <v>38.100461732427121</v>
      </c>
      <c r="AX68" s="71">
        <v>42.748982263353348</v>
      </c>
      <c r="AY68" s="71">
        <v>47.62729760028278</v>
      </c>
      <c r="AZ68" s="71">
        <v>52.735407743215397</v>
      </c>
      <c r="BA68" s="71">
        <v>58.073312692151205</v>
      </c>
      <c r="BB68" s="71">
        <v>63.641012447090141</v>
      </c>
      <c r="BC68" s="71">
        <v>69.438507008032303</v>
      </c>
      <c r="BD68" s="71">
        <v>75.465796374977643</v>
      </c>
      <c r="BE68" s="71">
        <v>81.722880547926181</v>
      </c>
      <c r="BF68" s="71">
        <v>88.209759526877889</v>
      </c>
      <c r="BG68" s="71">
        <v>94.926433311832724</v>
      </c>
      <c r="BH68" s="71">
        <v>101.8729019027908</v>
      </c>
      <c r="BI68" s="71">
        <v>109.04916529975206</v>
      </c>
      <c r="BJ68" s="71">
        <v>116.45522350271648</v>
      </c>
      <c r="BK68" s="71">
        <v>124.09107651168409</v>
      </c>
      <c r="BL68" s="71">
        <v>131.95672432665486</v>
      </c>
      <c r="BM68" s="71">
        <v>140.05216694762885</v>
      </c>
      <c r="BN68" s="71">
        <v>148.37740437460599</v>
      </c>
      <c r="BO68" s="71">
        <v>156.93243660758631</v>
      </c>
      <c r="BP68" s="71">
        <v>165.71726364656979</v>
      </c>
      <c r="BQ68" s="71">
        <v>174.73188549155648</v>
      </c>
      <c r="BR68" s="71">
        <v>183.97630214254639</v>
      </c>
      <c r="BS68" s="71">
        <v>193.45051359953942</v>
      </c>
      <c r="BT68" s="71">
        <v>203.15451986253569</v>
      </c>
      <c r="BU68" s="71">
        <v>213.08832093153504</v>
      </c>
      <c r="BV68" s="71">
        <v>223.25191680653768</v>
      </c>
      <c r="BW68" s="71">
        <v>233.64530748754345</v>
      </c>
      <c r="BX68" s="71">
        <v>244.26849297455243</v>
      </c>
      <c r="BY68" s="71">
        <v>255.12147326756451</v>
      </c>
      <c r="BZ68" s="71">
        <v>266.2042483665798</v>
      </c>
      <c r="CA68" s="71">
        <v>277.51681827159837</v>
      </c>
      <c r="CB68" s="71">
        <v>289.05918298261997</v>
      </c>
      <c r="CC68" s="71">
        <v>300.83134249964496</v>
      </c>
      <c r="CD68" s="71">
        <v>312.83329682267288</v>
      </c>
      <c r="CE68" s="71">
        <v>325.06504595170423</v>
      </c>
      <c r="CF68" s="71">
        <v>337.52658988673858</v>
      </c>
      <c r="CG68" s="71">
        <v>350.21792862777608</v>
      </c>
      <c r="CH68" s="71">
        <v>363.13906217481696</v>
      </c>
      <c r="CI68" s="71">
        <v>376.28999052786088</v>
      </c>
      <c r="CJ68" s="71">
        <v>389.67071368690807</v>
      </c>
      <c r="CK68" s="71">
        <v>403.28123165195831</v>
      </c>
      <c r="CL68" s="71">
        <v>417.12154442301176</v>
      </c>
      <c r="CM68" s="71">
        <v>431.19165200006853</v>
      </c>
      <c r="CN68" s="71">
        <v>445.49155438312835</v>
      </c>
      <c r="CO68" s="71">
        <v>460.02125157219126</v>
      </c>
      <c r="CP68" s="71">
        <v>474.78074356725767</v>
      </c>
      <c r="CQ68" s="71">
        <v>489.77003036832684</v>
      </c>
      <c r="CR68" s="71">
        <v>504.98911197539962</v>
      </c>
      <c r="CS68" s="71">
        <v>520.43798838847522</v>
      </c>
      <c r="CT68" s="71">
        <v>536.1166596075542</v>
      </c>
      <c r="CU68" s="71">
        <v>552.02512563263633</v>
      </c>
      <c r="CV68" s="71">
        <v>568.16338646372162</v>
      </c>
      <c r="CW68" s="71">
        <v>584.5314421008103</v>
      </c>
      <c r="CX68" s="71">
        <v>601.12929254390156</v>
      </c>
      <c r="CY68" s="71">
        <v>617.95693779299665</v>
      </c>
      <c r="CZ68" s="71">
        <v>635.01437784809491</v>
      </c>
      <c r="DA68" s="71">
        <v>652.30161270919575</v>
      </c>
      <c r="DB68" s="71">
        <v>669.8186423763002</v>
      </c>
      <c r="DC68" s="71">
        <v>687.56546684940793</v>
      </c>
      <c r="DD68" s="71">
        <v>705.54208612851824</v>
      </c>
      <c r="DE68" s="71">
        <v>723.74850021363261</v>
      </c>
      <c r="DF68" s="71">
        <v>742.1847091047498</v>
      </c>
      <c r="DG68" s="71">
        <v>760.85071280187026</v>
      </c>
      <c r="DH68" s="71">
        <v>779.74651130499331</v>
      </c>
      <c r="DI68" s="71">
        <v>798.87210461412008</v>
      </c>
      <c r="DJ68" s="71">
        <v>818.22749272925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594.16122257299139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37.381886466319372</v>
      </c>
      <c r="K85" s="79">
        <v>812.5261298364918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-177.36744896628343</v>
      </c>
      <c r="K86" s="79">
        <v>808.89487787919518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809726.38181065174</v>
      </c>
      <c r="J89" s="80">
        <v>4.6774103869090831E-2</v>
      </c>
      <c r="K89" s="80">
        <v>7.5228259352973922E-7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809047.44413204573</v>
      </c>
      <c r="J90" s="80">
        <v>1.7203410630276541E-3</v>
      </c>
      <c r="K90" s="80">
        <v>4.849652721099578E-9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808894.87787919515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-3.9686888685327264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594.16122257299139</v>
      </c>
      <c r="K114" s="79">
        <v>749.05476604560135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37.381886466319372</v>
      </c>
      <c r="K115" s="79">
        <v>12.965374585834027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-177.36744896628343</v>
      </c>
      <c r="K116" s="79">
        <v>-13.901953063015332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1.6568447311587302</v>
      </c>
      <c r="J119" s="80">
        <v>2.3836917268834745E-4</v>
      </c>
      <c r="K119" s="138">
        <v>1.7159232694906723E-9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0.51443128239693015</v>
      </c>
      <c r="J120" s="80">
        <v>1.6255952746045005E-4</v>
      </c>
      <c r="K120" s="80">
        <v>4.5825637231595893E-10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-13.901953063015332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41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40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41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11" t="s">
        <v>84</v>
      </c>
      <c r="C137" s="8"/>
      <c r="D137" s="8"/>
      <c r="E137" s="8"/>
      <c r="F137" s="8"/>
      <c r="G137" s="8"/>
      <c r="H137" s="8"/>
      <c r="I137" s="10" t="s">
        <v>404</v>
      </c>
      <c r="J137" s="141">
        <v>2.5</v>
      </c>
      <c r="K137" s="93" t="s">
        <v>86</v>
      </c>
      <c r="L137" s="3"/>
      <c r="U137" s="99"/>
    </row>
    <row r="138" spans="1:21" ht="20.100000000000001" customHeight="1">
      <c r="A138" s="9" t="s">
        <v>35</v>
      </c>
      <c r="B138" s="8" t="s">
        <v>79</v>
      </c>
      <c r="C138" s="8"/>
      <c r="D138" s="8"/>
      <c r="E138" s="8"/>
      <c r="F138" s="8"/>
      <c r="G138" s="8"/>
      <c r="H138" s="8"/>
      <c r="I138" s="7" t="s">
        <v>80</v>
      </c>
      <c r="J138" s="62">
        <v>982.48391751092493</v>
      </c>
      <c r="K138" s="5" t="s">
        <v>81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250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251</v>
      </c>
      <c r="C141" s="8"/>
      <c r="D141" s="8"/>
      <c r="E141" s="8"/>
      <c r="F141" s="8"/>
      <c r="G141" s="8"/>
      <c r="H141" s="8"/>
      <c r="I141" s="7" t="s">
        <v>252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248</v>
      </c>
      <c r="C142" s="8"/>
      <c r="D142" s="8"/>
      <c r="E142" s="8"/>
      <c r="F142" s="8"/>
      <c r="G142" s="8"/>
      <c r="H142" s="8"/>
      <c r="I142" s="7" t="s">
        <v>249</v>
      </c>
      <c r="J142" s="62">
        <v>23151.127636464935</v>
      </c>
      <c r="K142" s="5" t="s">
        <v>81</v>
      </c>
      <c r="L142" s="3"/>
      <c r="U142" s="99"/>
    </row>
    <row r="143" spans="1:21" ht="20.100000000000001" customHeight="1">
      <c r="A143" s="9" t="s">
        <v>3</v>
      </c>
      <c r="B143" s="8" t="s">
        <v>84</v>
      </c>
      <c r="C143" s="8"/>
      <c r="D143" s="8"/>
      <c r="E143" s="8"/>
      <c r="F143" s="8"/>
      <c r="G143" s="8"/>
      <c r="H143" s="8"/>
      <c r="I143" s="82" t="s">
        <v>85</v>
      </c>
      <c r="J143" s="6">
        <v>1.0424378428964052</v>
      </c>
      <c r="K143" s="5" t="s">
        <v>86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75</v>
      </c>
      <c r="C147" s="8"/>
      <c r="D147" s="8"/>
      <c r="E147" s="8"/>
      <c r="F147" s="8"/>
      <c r="G147" s="8"/>
      <c r="H147" s="8"/>
      <c r="I147" s="7" t="s">
        <v>76</v>
      </c>
      <c r="J147" s="62">
        <v>569.97280616954504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327</v>
      </c>
      <c r="C148" s="8"/>
      <c r="D148" s="8"/>
      <c r="E148" s="8"/>
      <c r="F148" s="8"/>
      <c r="G148" s="8"/>
      <c r="H148" s="8"/>
      <c r="I148" s="81" t="s">
        <v>328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82</v>
      </c>
      <c r="C149" s="8"/>
      <c r="D149" s="8"/>
      <c r="E149" s="8"/>
      <c r="F149" s="8"/>
      <c r="G149" s="8"/>
      <c r="H149" s="8"/>
      <c r="I149" s="81" t="s">
        <v>83</v>
      </c>
      <c r="J149" s="62">
        <v>-147.22844896628345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-147.22844896628345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5.2222801284617454E-2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234</v>
      </c>
      <c r="N155" s="78" t="s">
        <v>227</v>
      </c>
      <c r="O155" s="78">
        <v>1</v>
      </c>
      <c r="P155" s="78" t="s">
        <v>228</v>
      </c>
      <c r="Q155" s="78" t="s">
        <v>229</v>
      </c>
      <c r="R155" s="78" t="s">
        <v>230</v>
      </c>
      <c r="S155" s="78" t="s">
        <v>231</v>
      </c>
      <c r="U155" s="99"/>
    </row>
    <row r="156" spans="1:21" ht="20.100000000000001" customHeight="1">
      <c r="A156" s="9" t="s">
        <v>5</v>
      </c>
      <c r="B156" s="8" t="s">
        <v>222</v>
      </c>
      <c r="C156" s="8"/>
      <c r="D156" s="8"/>
      <c r="E156" s="8"/>
      <c r="F156" s="8"/>
      <c r="G156" s="8"/>
      <c r="H156" s="8"/>
      <c r="I156" s="7" t="s">
        <v>235</v>
      </c>
      <c r="J156" s="62">
        <v>1087.1167181091412</v>
      </c>
      <c r="K156" s="5" t="s">
        <v>223</v>
      </c>
      <c r="L156" s="3"/>
      <c r="M156" s="70" t="s">
        <v>233</v>
      </c>
      <c r="N156" s="102"/>
      <c r="O156" s="102"/>
      <c r="P156" s="102"/>
      <c r="Q156" s="102"/>
      <c r="R156" s="102"/>
      <c r="S156" s="122">
        <f>1/bolt.axial_stiffness</f>
        <v>9.1986442977285256E-4</v>
      </c>
      <c r="T156" s="1" t="s">
        <v>225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237</v>
      </c>
      <c r="J157" s="62">
        <v>147.47458220868361</v>
      </c>
      <c r="K157" s="5" t="s">
        <v>78</v>
      </c>
      <c r="L157" s="3"/>
      <c r="M157" s="70" t="s">
        <v>232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6780.8295166753005</v>
      </c>
      <c r="T157" s="1" t="s">
        <v>224</v>
      </c>
      <c r="U157" s="99"/>
    </row>
    <row r="158" spans="1:21" ht="20.100000000000001" customHeight="1">
      <c r="A158" s="9" t="s">
        <v>3</v>
      </c>
      <c r="B158" s="8" t="s">
        <v>284</v>
      </c>
      <c r="C158" s="8"/>
      <c r="D158" s="8"/>
      <c r="E158" s="8"/>
      <c r="F158" s="8"/>
      <c r="G158" s="8"/>
      <c r="H158" s="8"/>
      <c r="I158" s="7" t="s">
        <v>220</v>
      </c>
      <c r="J158" s="62">
        <v>1473.1493426522268</v>
      </c>
      <c r="K158" s="5" t="s">
        <v>219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240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238</v>
      </c>
      <c r="C161" s="11"/>
      <c r="D161" s="11"/>
      <c r="E161" s="11"/>
      <c r="F161" s="11"/>
      <c r="G161" s="11"/>
      <c r="H161" s="11"/>
      <c r="I161" s="10" t="s">
        <v>239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148.68397322195224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59.473589288780907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0">
        <v>16227528.242216157</v>
      </c>
      <c r="K164" s="5" t="s">
        <v>289</v>
      </c>
      <c r="L164" s="3"/>
      <c r="U164" s="100"/>
    </row>
    <row r="165" spans="1:21" ht="20.100000000000001" customHeight="1">
      <c r="A165" s="9" t="s">
        <v>6</v>
      </c>
      <c r="B165" s="8" t="s">
        <v>226</v>
      </c>
      <c r="C165" s="8"/>
      <c r="D165" s="8"/>
      <c r="E165" s="8"/>
      <c r="F165" s="8"/>
      <c r="G165" s="8"/>
      <c r="H165" s="8"/>
      <c r="I165" s="7" t="s">
        <v>236</v>
      </c>
      <c r="J165" s="92">
        <v>6489.7425600782899</v>
      </c>
      <c r="K165" s="5" t="s">
        <v>223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1.4280136963052137E-3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0.13493674984998869</v>
      </c>
      <c r="K167" s="5" t="s">
        <v>86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8D0D-7BA4-4F2D-9296-0858B6B6F7BE}">
  <sheetPr>
    <tabColor theme="0" tint="-0.249977111117893"/>
  </sheetPr>
  <dimension ref="A1:X1048558"/>
  <sheetViews>
    <sheetView showGridLines="0" zoomScale="70" zoomScaleNormal="70" workbookViewId="0">
      <pane ySplit="26" topLeftCell="A27" activePane="bottomLeft" state="frozen"/>
      <selection pane="bottomLeft" activeCell="R139" sqref="R139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24">
      <c r="A1" s="161">
        <v>1</v>
      </c>
      <c r="B1" s="161">
        <f t="shared" ref="B1:X1" si="0">A1+1</f>
        <v>2</v>
      </c>
      <c r="C1" s="161">
        <f t="shared" si="0"/>
        <v>3</v>
      </c>
      <c r="D1" s="161">
        <f t="shared" si="0"/>
        <v>4</v>
      </c>
      <c r="E1" s="161">
        <f t="shared" si="0"/>
        <v>5</v>
      </c>
      <c r="F1" s="161">
        <f t="shared" si="0"/>
        <v>6</v>
      </c>
      <c r="G1" s="161">
        <f t="shared" si="0"/>
        <v>7</v>
      </c>
      <c r="H1" s="161">
        <f t="shared" si="0"/>
        <v>8</v>
      </c>
      <c r="I1" s="161">
        <f t="shared" si="0"/>
        <v>9</v>
      </c>
      <c r="J1" s="161">
        <f t="shared" si="0"/>
        <v>10</v>
      </c>
      <c r="K1" s="161">
        <f t="shared" si="0"/>
        <v>11</v>
      </c>
      <c r="L1" s="161">
        <f t="shared" si="0"/>
        <v>12</v>
      </c>
      <c r="M1" s="161">
        <f t="shared" si="0"/>
        <v>13</v>
      </c>
      <c r="N1" s="161">
        <f t="shared" si="0"/>
        <v>14</v>
      </c>
      <c r="O1" s="161">
        <f t="shared" si="0"/>
        <v>15</v>
      </c>
      <c r="P1" s="161">
        <f t="shared" si="0"/>
        <v>16</v>
      </c>
      <c r="Q1" s="161">
        <f t="shared" si="0"/>
        <v>17</v>
      </c>
      <c r="R1" s="161">
        <f t="shared" si="0"/>
        <v>18</v>
      </c>
      <c r="S1" s="161">
        <f t="shared" si="0"/>
        <v>19</v>
      </c>
      <c r="T1" s="161">
        <f t="shared" si="0"/>
        <v>20</v>
      </c>
      <c r="U1" s="161">
        <f t="shared" si="0"/>
        <v>21</v>
      </c>
      <c r="V1" s="161">
        <f t="shared" si="0"/>
        <v>22</v>
      </c>
      <c r="W1" s="161">
        <f t="shared" si="0"/>
        <v>23</v>
      </c>
      <c r="X1" s="161">
        <f t="shared" si="0"/>
        <v>24</v>
      </c>
    </row>
    <row r="2" spans="1:24">
      <c r="B2" s="117" t="s">
        <v>215</v>
      </c>
      <c r="I2" s="117" t="s">
        <v>283</v>
      </c>
    </row>
    <row r="4" spans="1:24">
      <c r="B4" s="117" t="s">
        <v>282</v>
      </c>
      <c r="U4" s="117" t="s">
        <v>401</v>
      </c>
    </row>
    <row r="5" spans="1:24">
      <c r="I5" t="s">
        <v>400</v>
      </c>
      <c r="L5" s="160">
        <v>0</v>
      </c>
      <c r="M5" t="s">
        <v>399</v>
      </c>
      <c r="O5" s="117" t="s">
        <v>398</v>
      </c>
    </row>
    <row r="6" spans="1:24" ht="13.8">
      <c r="I6" t="s">
        <v>397</v>
      </c>
      <c r="L6" s="159">
        <v>1</v>
      </c>
      <c r="O6" s="146" t="s">
        <v>396</v>
      </c>
      <c r="P6" s="110">
        <v>50</v>
      </c>
      <c r="U6" s="158" t="s">
        <v>395</v>
      </c>
      <c r="V6" s="108">
        <v>1</v>
      </c>
      <c r="W6" t="s">
        <v>394</v>
      </c>
    </row>
    <row r="7" spans="1:24" ht="13.8">
      <c r="I7" t="s">
        <v>393</v>
      </c>
      <c r="L7" s="159">
        <v>1</v>
      </c>
      <c r="O7" s="146" t="s">
        <v>392</v>
      </c>
      <c r="P7" s="110">
        <v>0.1</v>
      </c>
      <c r="U7" s="158" t="s">
        <v>391</v>
      </c>
      <c r="V7" s="108">
        <v>1</v>
      </c>
      <c r="W7" t="s">
        <v>390</v>
      </c>
    </row>
    <row r="8" spans="1:24" ht="13.8">
      <c r="O8" s="146" t="s">
        <v>389</v>
      </c>
      <c r="P8" s="109">
        <v>0.88300620235731286</v>
      </c>
      <c r="U8" s="158" t="s">
        <v>388</v>
      </c>
      <c r="V8" s="108">
        <v>1</v>
      </c>
      <c r="W8" t="s">
        <v>387</v>
      </c>
    </row>
    <row r="9" spans="1:24">
      <c r="I9" s="117" t="s">
        <v>386</v>
      </c>
      <c r="O9" s="146" t="s">
        <v>385</v>
      </c>
      <c r="P9" s="109">
        <v>40.136645561696035</v>
      </c>
      <c r="Q9" t="s">
        <v>384</v>
      </c>
    </row>
    <row r="10" spans="1:24" ht="15">
      <c r="I10" s="152" t="s">
        <v>383</v>
      </c>
      <c r="K10" s="150" t="s">
        <v>382</v>
      </c>
      <c r="L10" s="104">
        <v>270</v>
      </c>
      <c r="M10" s="150" t="s">
        <v>8</v>
      </c>
      <c r="O10" s="146" t="s">
        <v>381</v>
      </c>
      <c r="P10" s="110">
        <v>3</v>
      </c>
    </row>
    <row r="11" spans="1:24" ht="15">
      <c r="I11" s="157" t="s">
        <v>380</v>
      </c>
      <c r="K11" s="156" t="s">
        <v>379</v>
      </c>
      <c r="L11" s="104">
        <v>130</v>
      </c>
      <c r="M11" s="156" t="s">
        <v>8</v>
      </c>
      <c r="O11" s="146" t="s">
        <v>378</v>
      </c>
      <c r="P11" s="110">
        <v>5</v>
      </c>
    </row>
    <row r="12" spans="1:24">
      <c r="O12" s="146" t="s">
        <v>377</v>
      </c>
      <c r="P12" s="110">
        <v>2000000</v>
      </c>
      <c r="U12" s="117" t="s">
        <v>376</v>
      </c>
    </row>
    <row r="13" spans="1:24" ht="15">
      <c r="I13" s="152" t="s">
        <v>375</v>
      </c>
      <c r="K13" s="150" t="s">
        <v>374</v>
      </c>
      <c r="L13" s="154">
        <v>76.102999999999994</v>
      </c>
      <c r="M13" s="150" t="s">
        <v>8</v>
      </c>
      <c r="O13" s="146" t="s">
        <v>373</v>
      </c>
      <c r="P13" s="109">
        <v>40.136645561696035</v>
      </c>
    </row>
    <row r="14" spans="1:24" ht="15">
      <c r="I14" s="152" t="s">
        <v>372</v>
      </c>
      <c r="K14" s="150" t="s">
        <v>371</v>
      </c>
      <c r="L14" s="154">
        <v>76.102999999999994</v>
      </c>
      <c r="M14" s="150" t="s">
        <v>8</v>
      </c>
      <c r="O14" s="146" t="s">
        <v>370</v>
      </c>
      <c r="P14" s="109">
        <v>1</v>
      </c>
      <c r="U14" s="155" t="s">
        <v>369</v>
      </c>
      <c r="V14" s="155" t="s">
        <v>368</v>
      </c>
      <c r="W14" s="155" t="s">
        <v>367</v>
      </c>
    </row>
    <row r="15" spans="1:24" ht="15">
      <c r="I15" s="152" t="s">
        <v>366</v>
      </c>
      <c r="K15" s="150" t="s">
        <v>365</v>
      </c>
      <c r="L15" s="154">
        <v>72.638974595999997</v>
      </c>
      <c r="M15" s="150" t="s">
        <v>8</v>
      </c>
      <c r="O15" s="146" t="s">
        <v>364</v>
      </c>
      <c r="P15" s="109">
        <v>1.1000000000000001</v>
      </c>
      <c r="U15" s="153" t="s">
        <v>363</v>
      </c>
      <c r="V15" s="153" t="s">
        <v>363</v>
      </c>
      <c r="W15" s="153" t="s">
        <v>123</v>
      </c>
    </row>
    <row r="16" spans="1:24">
      <c r="O16" s="146" t="s">
        <v>362</v>
      </c>
      <c r="P16" s="109">
        <v>0.78</v>
      </c>
      <c r="U16" s="144">
        <v>4.3536999999999999E-2</v>
      </c>
      <c r="V16" s="144">
        <v>-297386</v>
      </c>
      <c r="W16" s="143">
        <v>73615.8</v>
      </c>
    </row>
    <row r="17" spans="2:23">
      <c r="I17" s="152" t="s">
        <v>361</v>
      </c>
      <c r="K17" s="150" t="s">
        <v>360</v>
      </c>
      <c r="L17" s="151">
        <v>4344.0716042398344</v>
      </c>
      <c r="M17" s="150" t="s">
        <v>219</v>
      </c>
      <c r="U17" s="144">
        <v>11858.1</v>
      </c>
      <c r="V17" s="144">
        <v>-297386</v>
      </c>
      <c r="W17" s="143">
        <v>313.68</v>
      </c>
    </row>
    <row r="18" spans="2:23">
      <c r="U18" s="144">
        <v>4.3536999999999999E-2</v>
      </c>
      <c r="V18" s="144">
        <v>-281900</v>
      </c>
      <c r="W18" s="143">
        <v>905573</v>
      </c>
    </row>
    <row r="19" spans="2:23">
      <c r="U19" s="144">
        <v>11858.1</v>
      </c>
      <c r="V19" s="144">
        <v>-281900</v>
      </c>
      <c r="W19" s="143">
        <v>74918.7</v>
      </c>
    </row>
    <row r="20" spans="2:23">
      <c r="U20" s="144">
        <v>23716.1</v>
      </c>
      <c r="V20" s="144">
        <v>-281900</v>
      </c>
      <c r="W20" s="143">
        <v>7275.17</v>
      </c>
    </row>
    <row r="21" spans="2:23">
      <c r="U21" s="144">
        <v>35574.199999999997</v>
      </c>
      <c r="V21" s="144">
        <v>-281900</v>
      </c>
      <c r="W21" s="143">
        <v>5372.69</v>
      </c>
    </row>
    <row r="22" spans="2:23">
      <c r="U22" s="144">
        <v>47432.2</v>
      </c>
      <c r="V22" s="144">
        <v>-281900</v>
      </c>
      <c r="W22" s="143">
        <v>1177.48</v>
      </c>
    </row>
    <row r="23" spans="2:23">
      <c r="U23" s="144">
        <v>4.3536999999999999E-2</v>
      </c>
      <c r="V23" s="144">
        <v>-266414</v>
      </c>
      <c r="W23" s="143">
        <v>2969770</v>
      </c>
    </row>
    <row r="24" spans="2:23">
      <c r="U24" s="144">
        <v>11858.1</v>
      </c>
      <c r="V24" s="144">
        <v>-266414</v>
      </c>
      <c r="W24" s="143">
        <v>434191</v>
      </c>
    </row>
    <row r="25" spans="2:23">
      <c r="U25" s="144">
        <v>23716.1</v>
      </c>
      <c r="V25" s="144">
        <v>-266414</v>
      </c>
      <c r="W25" s="143">
        <v>167648</v>
      </c>
    </row>
    <row r="26" spans="2:23">
      <c r="B26" s="116" t="s">
        <v>214</v>
      </c>
      <c r="C26" s="116" t="s">
        <v>213</v>
      </c>
      <c r="D26" s="116" t="s">
        <v>212</v>
      </c>
      <c r="E26" s="116" t="s">
        <v>359</v>
      </c>
      <c r="F26" s="116" t="s">
        <v>211</v>
      </c>
      <c r="G26" s="115"/>
      <c r="H26" s="115"/>
      <c r="I26" s="116" t="s">
        <v>214</v>
      </c>
      <c r="J26" s="116" t="s">
        <v>213</v>
      </c>
      <c r="K26" s="116" t="s">
        <v>212</v>
      </c>
      <c r="L26" s="116" t="s">
        <v>281</v>
      </c>
      <c r="M26" s="116" t="s">
        <v>280</v>
      </c>
      <c r="N26" s="116" t="s">
        <v>279</v>
      </c>
      <c r="O26" s="116" t="s">
        <v>278</v>
      </c>
      <c r="U26" s="144">
        <v>35574.199999999997</v>
      </c>
      <c r="V26" s="144">
        <v>-266414</v>
      </c>
      <c r="W26" s="143">
        <v>118525</v>
      </c>
    </row>
    <row r="27" spans="2:23" ht="15.6">
      <c r="B27" s="106">
        <v>1</v>
      </c>
      <c r="C27" s="103" t="s">
        <v>198</v>
      </c>
      <c r="E27" s="104"/>
      <c r="F27" t="s">
        <v>210</v>
      </c>
      <c r="I27" s="106">
        <v>1</v>
      </c>
      <c r="J27" s="103" t="s">
        <v>198</v>
      </c>
      <c r="L27" s="104"/>
      <c r="M27" s="104"/>
      <c r="N27" s="104"/>
      <c r="O27" s="104"/>
      <c r="P27" t="str">
        <f t="shared" ref="P27:P66" si="1">IF(F27&lt;&gt;"",F27,"")</f>
        <v>Simplified formula used, therefore not evaluated</v>
      </c>
      <c r="U27" s="144">
        <v>47432.2</v>
      </c>
      <c r="V27" s="144">
        <v>-266414</v>
      </c>
      <c r="W27" s="143">
        <v>54811.8</v>
      </c>
    </row>
    <row r="28" spans="2:23" ht="15.6">
      <c r="B28" s="106">
        <f>B27+1</f>
        <v>2</v>
      </c>
      <c r="C28" s="105" t="s">
        <v>209</v>
      </c>
      <c r="D28" s="103" t="s">
        <v>128</v>
      </c>
      <c r="E28" s="107">
        <f>0.05*E34</f>
        <v>153.74071147146736</v>
      </c>
      <c r="F28" t="s">
        <v>208</v>
      </c>
      <c r="I28" s="106">
        <f>I27+1</f>
        <v>2</v>
      </c>
      <c r="J28" s="105" t="s">
        <v>209</v>
      </c>
      <c r="K28" s="103" t="s">
        <v>128</v>
      </c>
      <c r="L28" s="107">
        <v>47.288017719282664</v>
      </c>
      <c r="M28" s="107">
        <v>47.288017719282664</v>
      </c>
      <c r="N28" s="107">
        <v>47.288017719282664</v>
      </c>
      <c r="O28" s="107">
        <v>47.288017719282664</v>
      </c>
      <c r="P28" t="str">
        <f t="shared" si="1"/>
        <v>Simplified formula used, therefore not used directly (but reported here for info)</v>
      </c>
      <c r="U28" s="144">
        <v>59290.2</v>
      </c>
      <c r="V28" s="144">
        <v>-266414</v>
      </c>
      <c r="W28" s="143">
        <v>22776.400000000001</v>
      </c>
    </row>
    <row r="29" spans="2:23" ht="15.6">
      <c r="B29" s="106"/>
      <c r="C29" s="105" t="s">
        <v>207</v>
      </c>
      <c r="D29" s="103" t="s">
        <v>206</v>
      </c>
      <c r="E29" s="107">
        <v>900</v>
      </c>
      <c r="F29" t="s">
        <v>205</v>
      </c>
      <c r="I29" s="106"/>
      <c r="J29" s="105" t="s">
        <v>207</v>
      </c>
      <c r="K29" s="103" t="s">
        <v>206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1"/>
        <v>Nominal yield strength (0.2% strain limit) for 10.9 bolts</v>
      </c>
      <c r="U29" s="144">
        <v>71148.3</v>
      </c>
      <c r="V29" s="144">
        <v>-266414</v>
      </c>
      <c r="W29" s="143">
        <v>6048.52</v>
      </c>
    </row>
    <row r="30" spans="2:23" ht="15.6">
      <c r="B30" s="106"/>
      <c r="C30" s="105" t="s">
        <v>204</v>
      </c>
      <c r="D30" s="103" t="s">
        <v>144</v>
      </c>
      <c r="E30" s="107">
        <v>4344.0716042398344</v>
      </c>
      <c r="F30" t="s">
        <v>332</v>
      </c>
      <c r="I30" s="106"/>
      <c r="J30" s="105" t="s">
        <v>204</v>
      </c>
      <c r="K30" s="103" t="s">
        <v>144</v>
      </c>
      <c r="L30" s="107">
        <v>1473.1579837133568</v>
      </c>
      <c r="M30" s="107">
        <v>1473.1579837133568</v>
      </c>
      <c r="N30" s="107">
        <v>1473.1579837133568</v>
      </c>
      <c r="O30" s="107">
        <v>1473.1579837133568</v>
      </c>
      <c r="P30" t="str">
        <f t="shared" si="1"/>
        <v>Stress area of bolt</v>
      </c>
      <c r="U30" s="144">
        <v>83006.3</v>
      </c>
      <c r="V30" s="144">
        <v>-266414</v>
      </c>
      <c r="W30" s="143">
        <v>1858.7</v>
      </c>
    </row>
    <row r="31" spans="2:23" ht="15.6">
      <c r="B31" s="106">
        <f>B28+1</f>
        <v>3</v>
      </c>
      <c r="C31" s="103" t="s">
        <v>198</v>
      </c>
      <c r="D31" s="103" t="s">
        <v>128</v>
      </c>
      <c r="E31" s="107">
        <v>2800</v>
      </c>
      <c r="F31" t="s">
        <v>203</v>
      </c>
      <c r="I31" s="106">
        <f>I28+1</f>
        <v>3</v>
      </c>
      <c r="J31" s="103" t="s">
        <v>198</v>
      </c>
      <c r="K31" s="103" t="s">
        <v>128</v>
      </c>
      <c r="L31" s="107">
        <v>808.99913815980972</v>
      </c>
      <c r="M31" s="107">
        <v>808.99913815980972</v>
      </c>
      <c r="N31" s="107">
        <v>808.99913815980972</v>
      </c>
      <c r="O31" s="107">
        <v>808.99913815980972</v>
      </c>
      <c r="P31" t="str">
        <f t="shared" si="1"/>
        <v>Design value of preload, simplified formula</v>
      </c>
      <c r="U31" s="144">
        <v>94864.4</v>
      </c>
      <c r="V31" s="144">
        <v>-266414</v>
      </c>
      <c r="W31" s="143">
        <v>0.52500000000000002</v>
      </c>
    </row>
    <row r="32" spans="2:23" ht="15.6">
      <c r="B32" s="106"/>
      <c r="C32" s="103" t="s">
        <v>202</v>
      </c>
      <c r="D32" s="103" t="s">
        <v>128</v>
      </c>
      <c r="E32" s="107">
        <v>3144.2390271487925</v>
      </c>
      <c r="F32" t="s">
        <v>333</v>
      </c>
      <c r="I32" s="106"/>
      <c r="J32" s="103" t="s">
        <v>202</v>
      </c>
      <c r="K32" s="103" t="s">
        <v>128</v>
      </c>
      <c r="L32" s="107">
        <v>1020.8984827133563</v>
      </c>
      <c r="M32" s="107">
        <v>1020.8984827133563</v>
      </c>
      <c r="N32" s="107">
        <v>1020.8984827133563</v>
      </c>
      <c r="O32" s="107">
        <v>1020.8984827133563</v>
      </c>
      <c r="P32" t="str">
        <f t="shared" si="1"/>
        <v>Mean preload after installation</v>
      </c>
      <c r="U32" s="144">
        <v>4.3536999999999999E-2</v>
      </c>
      <c r="V32" s="144">
        <v>-250929</v>
      </c>
      <c r="W32" s="143">
        <v>6493660</v>
      </c>
    </row>
    <row r="33" spans="2:23" ht="15.6">
      <c r="B33" s="106"/>
      <c r="C33" s="103" t="s">
        <v>201</v>
      </c>
      <c r="D33" s="103" t="s">
        <v>123</v>
      </c>
      <c r="E33" s="109">
        <v>0.03</v>
      </c>
      <c r="F33" t="s">
        <v>334</v>
      </c>
      <c r="I33" s="106"/>
      <c r="J33" s="103" t="s">
        <v>201</v>
      </c>
      <c r="K33" s="103" t="s">
        <v>123</v>
      </c>
      <c r="L33" s="109">
        <v>0.1</v>
      </c>
      <c r="M33" s="109">
        <v>0.1</v>
      </c>
      <c r="N33" s="109">
        <v>0.1</v>
      </c>
      <c r="O33" s="109">
        <v>0.1</v>
      </c>
      <c r="P33" t="str">
        <f t="shared" si="1"/>
        <v>Coefficient of variation for preload</v>
      </c>
      <c r="U33" s="144">
        <v>11858.1</v>
      </c>
      <c r="V33" s="144">
        <v>-250929</v>
      </c>
      <c r="W33" s="143">
        <v>850810</v>
      </c>
    </row>
    <row r="34" spans="2:23" ht="15.6">
      <c r="B34" s="106"/>
      <c r="C34" s="103" t="s">
        <v>200</v>
      </c>
      <c r="D34" s="103" t="s">
        <v>128</v>
      </c>
      <c r="E34" s="107">
        <f>(1-0.736*E33)*E32</f>
        <v>3074.8142294293471</v>
      </c>
      <c r="F34" t="s">
        <v>335</v>
      </c>
      <c r="I34" s="106"/>
      <c r="J34" s="103" t="s">
        <v>200</v>
      </c>
      <c r="K34" s="103" t="s">
        <v>128</v>
      </c>
      <c r="L34" s="107">
        <v>945.76035438565327</v>
      </c>
      <c r="M34" s="107">
        <v>945.76035438565327</v>
      </c>
      <c r="N34" s="107">
        <v>945.76035438565327</v>
      </c>
      <c r="O34" s="107">
        <v>945.76035438565327</v>
      </c>
      <c r="P34" t="str">
        <f t="shared" si="1"/>
        <v>Design preload averaged over 5 bolts (after installation, without preload losses)</v>
      </c>
      <c r="U34" s="144">
        <v>23716.1</v>
      </c>
      <c r="V34" s="144">
        <v>-250929</v>
      </c>
      <c r="W34" s="143">
        <v>308686</v>
      </c>
    </row>
    <row r="35" spans="2:23" ht="15.6">
      <c r="B35" s="131">
        <f>B31+1</f>
        <v>4</v>
      </c>
      <c r="C35" s="130" t="s">
        <v>277</v>
      </c>
      <c r="D35" s="130" t="s">
        <v>128</v>
      </c>
      <c r="E35" s="129">
        <v>0</v>
      </c>
      <c r="F35" s="149" t="s">
        <v>336</v>
      </c>
      <c r="G35" s="132"/>
      <c r="H35" s="132"/>
      <c r="I35" s="131">
        <f>I31+1</f>
        <v>4</v>
      </c>
      <c r="J35" s="130" t="s">
        <v>277</v>
      </c>
      <c r="K35" s="130" t="s">
        <v>128</v>
      </c>
      <c r="L35" s="129">
        <v>808.99913815980972</v>
      </c>
      <c r="M35" s="129">
        <v>808.99913815980972</v>
      </c>
      <c r="N35" s="129">
        <v>808.99913815980972</v>
      </c>
      <c r="O35" s="129">
        <v>808.99913815980972</v>
      </c>
      <c r="P35" t="str">
        <f t="shared" si="1"/>
        <v>Design value capped to 90% Fp,C*: Yes</v>
      </c>
      <c r="U35" s="144">
        <v>35574.199999999997</v>
      </c>
      <c r="V35" s="144">
        <v>-250929</v>
      </c>
      <c r="W35" s="143">
        <v>194589</v>
      </c>
    </row>
    <row r="36" spans="2:23" ht="15.6">
      <c r="B36" s="106"/>
      <c r="C36" s="105" t="s">
        <v>196</v>
      </c>
      <c r="D36" s="103" t="s">
        <v>276</v>
      </c>
      <c r="E36" s="114">
        <v>5.8458922294713925E-10</v>
      </c>
      <c r="I36" s="106"/>
      <c r="J36" s="105" t="s">
        <v>196</v>
      </c>
      <c r="K36" s="103" t="s">
        <v>276</v>
      </c>
      <c r="L36" s="114">
        <v>9.1986306542215614E-10</v>
      </c>
      <c r="M36" s="114">
        <v>9.1986306542215614E-10</v>
      </c>
      <c r="N36" s="114">
        <v>9.1986306542215614E-10</v>
      </c>
      <c r="O36" s="114">
        <v>9.1986306542215614E-10</v>
      </c>
      <c r="P36" t="str">
        <f t="shared" si="1"/>
        <v/>
      </c>
      <c r="U36" s="144">
        <v>47432.2</v>
      </c>
      <c r="V36" s="144">
        <v>-250929</v>
      </c>
      <c r="W36" s="143">
        <v>92244.1</v>
      </c>
    </row>
    <row r="37" spans="2:23" ht="15.6">
      <c r="B37" s="106"/>
      <c r="C37" s="105" t="s">
        <v>195</v>
      </c>
      <c r="D37" s="103" t="s">
        <v>276</v>
      </c>
      <c r="E37" s="114">
        <v>9.6993208304588435E-11</v>
      </c>
      <c r="F37" s="148"/>
      <c r="I37" s="106"/>
      <c r="J37" s="105" t="s">
        <v>195</v>
      </c>
      <c r="K37" s="103" t="s">
        <v>276</v>
      </c>
      <c r="L37" s="114">
        <v>1.5408931721752862E-10</v>
      </c>
      <c r="M37" s="114">
        <v>1.5408931721752862E-10</v>
      </c>
      <c r="N37" s="114">
        <v>1.5408931721752862E-10</v>
      </c>
      <c r="O37" s="114">
        <v>1.5408931721752862E-10</v>
      </c>
      <c r="P37" t="str">
        <f t="shared" si="1"/>
        <v/>
      </c>
      <c r="U37" s="144">
        <v>59290.2</v>
      </c>
      <c r="V37" s="144">
        <v>-250929</v>
      </c>
      <c r="W37" s="143">
        <v>41583.4</v>
      </c>
    </row>
    <row r="38" spans="2:23">
      <c r="B38" s="106"/>
      <c r="C38" s="105" t="s">
        <v>194</v>
      </c>
      <c r="D38" s="103" t="s">
        <v>123</v>
      </c>
      <c r="E38" s="109">
        <v>0.1423059102718657</v>
      </c>
      <c r="I38" s="106"/>
      <c r="J38" s="105" t="s">
        <v>194</v>
      </c>
      <c r="K38" s="103" t="s">
        <v>123</v>
      </c>
      <c r="L38" s="109">
        <v>0.14347872373893336</v>
      </c>
      <c r="M38" s="109">
        <v>0.14347872373893336</v>
      </c>
      <c r="N38" s="109">
        <v>0.14347872373893336</v>
      </c>
      <c r="O38" s="109">
        <v>0.14347872373893336</v>
      </c>
      <c r="P38" t="str">
        <f t="shared" si="1"/>
        <v/>
      </c>
      <c r="U38" s="144">
        <v>71148.3</v>
      </c>
      <c r="V38" s="144">
        <v>-250929</v>
      </c>
      <c r="W38" s="143">
        <v>21147.3</v>
      </c>
    </row>
    <row r="39" spans="2:23" ht="15.6">
      <c r="B39" s="106">
        <f>B35+1</f>
        <v>5</v>
      </c>
      <c r="C39" s="105" t="s">
        <v>193</v>
      </c>
      <c r="D39" s="103" t="s">
        <v>128</v>
      </c>
      <c r="E39" s="108">
        <v>48.860015706266829</v>
      </c>
      <c r="I39" s="106">
        <f>I35+1</f>
        <v>5</v>
      </c>
      <c r="J39" s="105" t="s">
        <v>193</v>
      </c>
      <c r="K39" s="103" t="s">
        <v>128</v>
      </c>
      <c r="L39" s="108">
        <v>89.473198506560863</v>
      </c>
      <c r="M39" s="108">
        <v>89.473198506560863</v>
      </c>
      <c r="N39" s="108">
        <v>89.473198506560863</v>
      </c>
      <c r="O39" s="108">
        <v>89.473198506560863</v>
      </c>
      <c r="P39" t="str">
        <f t="shared" si="1"/>
        <v/>
      </c>
      <c r="U39" s="144">
        <v>83006.3</v>
      </c>
      <c r="V39" s="144">
        <v>-250929</v>
      </c>
      <c r="W39" s="143">
        <v>5147.55</v>
      </c>
    </row>
    <row r="40" spans="2:23" ht="15.6">
      <c r="B40" s="106"/>
      <c r="C40" s="105" t="s">
        <v>192</v>
      </c>
      <c r="D40" s="103" t="s">
        <v>275</v>
      </c>
      <c r="E40" s="107">
        <v>500</v>
      </c>
      <c r="I40" s="106"/>
      <c r="J40" s="105" t="s">
        <v>192</v>
      </c>
      <c r="K40" s="103" t="s">
        <v>275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1"/>
        <v/>
      </c>
      <c r="U40" s="144">
        <v>94864.4</v>
      </c>
      <c r="V40" s="144">
        <v>-250929</v>
      </c>
      <c r="W40" s="143">
        <v>4912.4799999999996</v>
      </c>
    </row>
    <row r="41" spans="2:23" ht="15.6">
      <c r="B41" s="106">
        <f>B39+1</f>
        <v>6</v>
      </c>
      <c r="C41" s="103" t="s">
        <v>191</v>
      </c>
      <c r="D41" s="103" t="s">
        <v>275</v>
      </c>
      <c r="E41" s="107">
        <v>33.30212829607494</v>
      </c>
      <c r="F41" t="s">
        <v>337</v>
      </c>
      <c r="I41" s="106">
        <f>I39+1</f>
        <v>6</v>
      </c>
      <c r="J41" s="103" t="s">
        <v>191</v>
      </c>
      <c r="K41" s="103" t="s">
        <v>275</v>
      </c>
      <c r="L41" s="107">
        <v>96.08995471851452</v>
      </c>
      <c r="M41" s="107">
        <v>96.08995471851452</v>
      </c>
      <c r="N41" s="107">
        <v>96.08995471851452</v>
      </c>
      <c r="O41" s="107">
        <v>96.08995471851452</v>
      </c>
      <c r="P41" t="str">
        <f t="shared" si="1"/>
        <v>Including 50% reduction, when re-tightening is assumed (only for tension tightening)</v>
      </c>
      <c r="U41" s="144">
        <v>106722</v>
      </c>
      <c r="V41" s="144">
        <v>-250929</v>
      </c>
      <c r="W41" s="143">
        <v>644.30999999999995</v>
      </c>
    </row>
    <row r="42" spans="2:23" ht="15.6">
      <c r="B42" s="106">
        <f>B41+1</f>
        <v>7</v>
      </c>
      <c r="C42" s="103" t="s">
        <v>189</v>
      </c>
      <c r="D42" s="103" t="s">
        <v>128</v>
      </c>
      <c r="E42" s="111">
        <v>3323.2147772434732</v>
      </c>
      <c r="I42" s="106">
        <f>I41+1</f>
        <v>7</v>
      </c>
      <c r="J42" s="103" t="s">
        <v>189</v>
      </c>
      <c r="K42" s="103" t="s">
        <v>128</v>
      </c>
      <c r="L42" s="111">
        <v>1126.9658575407177</v>
      </c>
      <c r="M42" s="111">
        <v>1126.9658575407177</v>
      </c>
      <c r="N42" s="111">
        <v>1126.9658575407177</v>
      </c>
      <c r="O42" s="111">
        <v>1126.9658575407177</v>
      </c>
      <c r="P42" t="str">
        <f t="shared" si="1"/>
        <v/>
      </c>
      <c r="U42" s="144">
        <v>118580</v>
      </c>
      <c r="V42" s="144">
        <v>-250929</v>
      </c>
      <c r="W42" s="143">
        <v>1614.89</v>
      </c>
    </row>
    <row r="43" spans="2:23" ht="15.6">
      <c r="B43" s="106">
        <f>B42+1</f>
        <v>8</v>
      </c>
      <c r="C43" s="103" t="s">
        <v>188</v>
      </c>
      <c r="D43" s="103" t="s">
        <v>184</v>
      </c>
      <c r="E43" s="107">
        <f>MAX(E44,ABS(E45))</f>
        <v>321.69549999999998</v>
      </c>
      <c r="F43" t="s">
        <v>187</v>
      </c>
      <c r="I43" s="106">
        <f>I42+1</f>
        <v>8</v>
      </c>
      <c r="J43" s="103" t="s">
        <v>188</v>
      </c>
      <c r="K43" s="103" t="s">
        <v>184</v>
      </c>
      <c r="L43" s="107">
        <v>65.673222412000001</v>
      </c>
      <c r="M43" s="107">
        <v>65.673222412000001</v>
      </c>
      <c r="N43" s="107">
        <v>65.673222412000001</v>
      </c>
      <c r="O43" s="107">
        <v>65.673222412000001</v>
      </c>
      <c r="P43" t="str">
        <f t="shared" si="1"/>
        <v>Note: S1 loads not included here, only FLS loads</v>
      </c>
      <c r="U43" s="144">
        <v>4.3536999999999999E-2</v>
      </c>
      <c r="V43" s="144">
        <v>-235443</v>
      </c>
      <c r="W43" s="143">
        <v>9619430</v>
      </c>
    </row>
    <row r="44" spans="2:23" ht="15.6">
      <c r="B44" s="106">
        <f>B43+1</f>
        <v>9</v>
      </c>
      <c r="C44" s="103" t="s">
        <v>186</v>
      </c>
      <c r="D44" s="103" t="s">
        <v>184</v>
      </c>
      <c r="E44" s="107">
        <v>321.69549999999998</v>
      </c>
      <c r="I44" s="106">
        <f>I43+1</f>
        <v>9</v>
      </c>
      <c r="J44" s="103" t="s">
        <v>186</v>
      </c>
      <c r="K44" s="103" t="s">
        <v>184</v>
      </c>
      <c r="L44" s="107">
        <v>65.673222412000001</v>
      </c>
      <c r="M44" s="107">
        <v>65.673222412000001</v>
      </c>
      <c r="N44" s="107">
        <v>65.673222412000001</v>
      </c>
      <c r="O44" s="107">
        <v>65.673222412000001</v>
      </c>
      <c r="P44" t="str">
        <f t="shared" si="1"/>
        <v/>
      </c>
      <c r="U44" s="144">
        <v>11858.1</v>
      </c>
      <c r="V44" s="144">
        <v>-235443</v>
      </c>
      <c r="W44" s="143">
        <v>1214280</v>
      </c>
    </row>
    <row r="45" spans="2:23" ht="15.6">
      <c r="B45" s="106">
        <f>B44+1</f>
        <v>10</v>
      </c>
      <c r="C45" s="103" t="s">
        <v>185</v>
      </c>
      <c r="D45" s="103" t="s">
        <v>184</v>
      </c>
      <c r="E45" s="107">
        <v>-318.4495</v>
      </c>
      <c r="I45" s="106">
        <f>I44+1</f>
        <v>10</v>
      </c>
      <c r="J45" s="103" t="s">
        <v>185</v>
      </c>
      <c r="K45" s="103" t="s">
        <v>184</v>
      </c>
      <c r="L45" s="107">
        <v>-58.57360279409982</v>
      </c>
      <c r="M45" s="107">
        <v>-58.57360279409982</v>
      </c>
      <c r="N45" s="107">
        <v>-58.57360279409982</v>
      </c>
      <c r="O45" s="107">
        <v>-58.57360279409982</v>
      </c>
      <c r="P45" t="str">
        <f t="shared" si="1"/>
        <v/>
      </c>
      <c r="U45" s="144">
        <v>23716.1</v>
      </c>
      <c r="V45" s="144">
        <v>-235443</v>
      </c>
      <c r="W45" s="143">
        <v>492305</v>
      </c>
    </row>
    <row r="46" spans="2:23" ht="15.6">
      <c r="B46" s="106"/>
      <c r="C46" s="103" t="s">
        <v>183</v>
      </c>
      <c r="D46" s="103" t="s">
        <v>128</v>
      </c>
      <c r="E46" s="111">
        <v>1320.1892068208026</v>
      </c>
      <c r="I46" s="106"/>
      <c r="J46" s="103" t="s">
        <v>183</v>
      </c>
      <c r="K46" s="103" t="s">
        <v>128</v>
      </c>
      <c r="L46" s="111">
        <v>369.02469277749583</v>
      </c>
      <c r="M46" s="111">
        <v>369.02469277749583</v>
      </c>
      <c r="N46" s="111">
        <v>369.02469277749583</v>
      </c>
      <c r="O46" s="111">
        <v>369.02469277749583</v>
      </c>
      <c r="P46" t="str">
        <f t="shared" si="1"/>
        <v/>
      </c>
      <c r="U46" s="144">
        <v>35574.199999999997</v>
      </c>
      <c r="V46" s="144">
        <v>-235443</v>
      </c>
      <c r="W46" s="143">
        <v>321763</v>
      </c>
    </row>
    <row r="47" spans="2:23" ht="15.6">
      <c r="B47" s="106">
        <f>B45+1</f>
        <v>11</v>
      </c>
      <c r="C47" s="103" t="s">
        <v>182</v>
      </c>
      <c r="D47" s="103" t="s">
        <v>123</v>
      </c>
      <c r="E47" s="104"/>
      <c r="F47" t="s">
        <v>308</v>
      </c>
      <c r="I47" s="106">
        <f>I45+1</f>
        <v>11</v>
      </c>
      <c r="J47" s="103" t="s">
        <v>182</v>
      </c>
      <c r="K47" s="103" t="s">
        <v>123</v>
      </c>
      <c r="L47" s="104"/>
      <c r="M47" s="104"/>
      <c r="N47" s="104"/>
      <c r="O47" s="104"/>
      <c r="P47" t="str">
        <f t="shared" si="1"/>
        <v>(valid in case L-Flange is calculated)</v>
      </c>
      <c r="U47" s="144">
        <v>47432.2</v>
      </c>
      <c r="V47" s="144">
        <v>-235443</v>
      </c>
      <c r="W47" s="143">
        <v>138953</v>
      </c>
    </row>
    <row r="48" spans="2:23" ht="15.6">
      <c r="B48" s="106"/>
      <c r="C48" s="105" t="s">
        <v>181</v>
      </c>
      <c r="D48" s="103" t="s">
        <v>180</v>
      </c>
      <c r="E48" s="110">
        <v>90</v>
      </c>
      <c r="I48" s="106"/>
      <c r="J48" s="105" t="s">
        <v>181</v>
      </c>
      <c r="K48" s="103" t="s">
        <v>180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1"/>
        <v/>
      </c>
      <c r="U48" s="144">
        <v>59290.2</v>
      </c>
      <c r="V48" s="144">
        <v>-235443</v>
      </c>
      <c r="W48" s="143">
        <v>56144.1</v>
      </c>
    </row>
    <row r="49" spans="2:23" ht="15.6">
      <c r="B49" s="106"/>
      <c r="C49" s="103" t="s">
        <v>179</v>
      </c>
      <c r="D49" s="103" t="s">
        <v>173</v>
      </c>
      <c r="E49" s="109">
        <v>5.8904862254808625</v>
      </c>
      <c r="F49" t="s">
        <v>321</v>
      </c>
      <c r="I49" s="106"/>
      <c r="J49" s="103" t="s">
        <v>179</v>
      </c>
      <c r="K49" s="103" t="s">
        <v>173</v>
      </c>
      <c r="L49" s="109">
        <v>1.2042771838760873</v>
      </c>
      <c r="M49" s="109">
        <v>2.4085543677521746</v>
      </c>
      <c r="N49" s="109">
        <v>3.6128315516282621</v>
      </c>
      <c r="O49" s="109">
        <v>4.8171087355043491</v>
      </c>
      <c r="P49" t="str">
        <f t="shared" si="1"/>
        <v>Gap length measured on outside diameter</v>
      </c>
      <c r="U49" s="144">
        <v>71148.3</v>
      </c>
      <c r="V49" s="144">
        <v>-235443</v>
      </c>
      <c r="W49" s="143">
        <v>17857.099999999999</v>
      </c>
    </row>
    <row r="50" spans="2:23">
      <c r="B50" s="106"/>
      <c r="C50" s="103" t="s">
        <v>93</v>
      </c>
      <c r="D50" s="103" t="s">
        <v>173</v>
      </c>
      <c r="E50" s="109">
        <v>7.5</v>
      </c>
      <c r="I50" s="106"/>
      <c r="J50" s="103" t="s">
        <v>93</v>
      </c>
      <c r="K50" s="103" t="s">
        <v>173</v>
      </c>
      <c r="L50" s="109">
        <v>4.5999999999999996</v>
      </c>
      <c r="M50" s="109">
        <v>4.5999999999999996</v>
      </c>
      <c r="N50" s="109">
        <v>4.5999999999999996</v>
      </c>
      <c r="O50" s="109">
        <v>4.5999999999999996</v>
      </c>
      <c r="P50" t="str">
        <f t="shared" si="1"/>
        <v/>
      </c>
      <c r="U50" s="144">
        <v>83006.3</v>
      </c>
      <c r="V50" s="144">
        <v>-235443</v>
      </c>
      <c r="W50" s="143">
        <v>10813.4</v>
      </c>
    </row>
    <row r="51" spans="2:23" ht="15.6">
      <c r="B51" s="106"/>
      <c r="C51" s="103" t="s">
        <v>178</v>
      </c>
      <c r="D51" s="103" t="s">
        <v>177</v>
      </c>
      <c r="E51" s="108">
        <v>1.4</v>
      </c>
      <c r="I51" s="106"/>
      <c r="J51" s="103" t="s">
        <v>178</v>
      </c>
      <c r="K51" s="103" t="s">
        <v>177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1"/>
        <v/>
      </c>
      <c r="U51" s="144">
        <v>94864.4</v>
      </c>
      <c r="V51" s="144">
        <v>-235443</v>
      </c>
      <c r="W51" s="143">
        <v>8178.23</v>
      </c>
    </row>
    <row r="52" spans="2:23" ht="15.6">
      <c r="B52" s="106">
        <f>B47+1</f>
        <v>12</v>
      </c>
      <c r="C52" s="103" t="s">
        <v>176</v>
      </c>
      <c r="D52" s="103" t="s">
        <v>126</v>
      </c>
      <c r="E52" s="109">
        <v>1.3643968401892383</v>
      </c>
      <c r="I52" s="106">
        <f>I47+1</f>
        <v>12</v>
      </c>
      <c r="J52" s="103" t="s">
        <v>176</v>
      </c>
      <c r="K52" s="103" t="s">
        <v>126</v>
      </c>
      <c r="L52" s="109">
        <v>0.25543636477371356</v>
      </c>
      <c r="M52" s="109">
        <v>0.61333841412818124</v>
      </c>
      <c r="N52" s="109">
        <v>1.0737061480634029</v>
      </c>
      <c r="O52" s="109">
        <v>1.6365395665793787</v>
      </c>
      <c r="P52" t="str">
        <f t="shared" si="1"/>
        <v/>
      </c>
      <c r="U52" s="144">
        <v>106722</v>
      </c>
      <c r="V52" s="144">
        <v>-235443</v>
      </c>
      <c r="W52" s="143">
        <v>8411.02</v>
      </c>
    </row>
    <row r="53" spans="2:23" ht="15.6">
      <c r="B53" s="106">
        <f>B52+1</f>
        <v>13</v>
      </c>
      <c r="C53" s="103" t="s">
        <v>175</v>
      </c>
      <c r="D53" s="103" t="s">
        <v>123</v>
      </c>
      <c r="E53" s="109">
        <f>0.35+200*E48^-1.6</f>
        <v>0.4993626397773579</v>
      </c>
      <c r="I53" s="106">
        <f>I52+1</f>
        <v>13</v>
      </c>
      <c r="J53" s="103" t="s">
        <v>175</v>
      </c>
      <c r="K53" s="103" t="s">
        <v>123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1"/>
        <v/>
      </c>
      <c r="U53" s="144">
        <v>118580</v>
      </c>
      <c r="V53" s="144">
        <v>-235443</v>
      </c>
      <c r="W53" s="143">
        <v>8544.33</v>
      </c>
    </row>
    <row r="54" spans="2:23" ht="15.6">
      <c r="B54" s="106"/>
      <c r="C54" s="103" t="s">
        <v>174</v>
      </c>
      <c r="D54" s="103" t="s">
        <v>173</v>
      </c>
      <c r="E54" s="109">
        <f>PI()*E50/12</f>
        <v>1.9634954084936205</v>
      </c>
      <c r="I54" s="106"/>
      <c r="J54" s="103" t="s">
        <v>174</v>
      </c>
      <c r="K54" s="103" t="s">
        <v>173</v>
      </c>
      <c r="L54" s="109">
        <v>1.2042771838760873</v>
      </c>
      <c r="M54" s="109">
        <v>1.2042771838760873</v>
      </c>
      <c r="N54" s="109">
        <v>1.2042771838760873</v>
      </c>
      <c r="O54" s="109">
        <v>1.2042771838760873</v>
      </c>
      <c r="P54" t="str">
        <f t="shared" si="1"/>
        <v/>
      </c>
      <c r="U54" s="144">
        <v>130438</v>
      </c>
      <c r="V54" s="144">
        <v>-235443</v>
      </c>
      <c r="W54" s="143">
        <v>4811.66</v>
      </c>
    </row>
    <row r="55" spans="2:23" ht="15.6">
      <c r="B55" s="106">
        <f>B53+1</f>
        <v>14</v>
      </c>
      <c r="C55" s="103" t="s">
        <v>172</v>
      </c>
      <c r="D55" s="103" t="s">
        <v>126</v>
      </c>
      <c r="E55" s="109">
        <f>SQRT(E54)*E51</f>
        <v>1.9617469257392748</v>
      </c>
      <c r="I55" s="106">
        <f>I53+1</f>
        <v>14</v>
      </c>
      <c r="J55" s="103" t="s">
        <v>172</v>
      </c>
      <c r="K55" s="103" t="s">
        <v>126</v>
      </c>
      <c r="L55" s="109">
        <v>1.5363538916529389</v>
      </c>
      <c r="M55" s="109">
        <v>1.5363538916529389</v>
      </c>
      <c r="N55" s="109">
        <v>1.5363538916529389</v>
      </c>
      <c r="O55" s="109">
        <v>1.5363538916529389</v>
      </c>
      <c r="P55" t="str">
        <f t="shared" si="1"/>
        <v/>
      </c>
      <c r="U55" s="144">
        <v>142297</v>
      </c>
      <c r="V55" s="144">
        <v>-235443</v>
      </c>
      <c r="W55" s="143">
        <v>1381.51</v>
      </c>
    </row>
    <row r="56" spans="2:23" ht="15.6">
      <c r="B56" s="106">
        <f>B55+1</f>
        <v>15</v>
      </c>
      <c r="C56" s="103" t="s">
        <v>171</v>
      </c>
      <c r="D56" s="103" t="s">
        <v>126</v>
      </c>
      <c r="E56" s="109">
        <f>1.5*E55</f>
        <v>2.942620388608912</v>
      </c>
      <c r="I56" s="106">
        <f>I55+1</f>
        <v>15</v>
      </c>
      <c r="J56" s="103" t="s">
        <v>171</v>
      </c>
      <c r="K56" s="103" t="s">
        <v>126</v>
      </c>
      <c r="L56" s="109">
        <v>2.3045308374794082</v>
      </c>
      <c r="M56" s="109">
        <v>2.3045308374794082</v>
      </c>
      <c r="N56" s="109">
        <v>2.3045308374794082</v>
      </c>
      <c r="O56" s="109">
        <v>2.3045308374794082</v>
      </c>
      <c r="P56" t="str">
        <f t="shared" si="1"/>
        <v/>
      </c>
      <c r="U56" s="144">
        <v>154155</v>
      </c>
      <c r="V56" s="144">
        <v>-235443</v>
      </c>
      <c r="W56" s="143">
        <v>164.655</v>
      </c>
    </row>
    <row r="57" spans="2:23" ht="15.6">
      <c r="B57" s="106">
        <f>B56+1</f>
        <v>16</v>
      </c>
      <c r="C57" s="105" t="s">
        <v>170</v>
      </c>
      <c r="D57" s="103"/>
      <c r="E57" s="109">
        <f>SQRT(LN(E53^2+1))</f>
        <v>0.47184092472685457</v>
      </c>
      <c r="I57" s="106">
        <f>I56+1</f>
        <v>16</v>
      </c>
      <c r="J57" s="105" t="s">
        <v>170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1"/>
        <v/>
      </c>
      <c r="U57" s="144">
        <v>166013</v>
      </c>
      <c r="V57" s="144">
        <v>-235443</v>
      </c>
      <c r="W57" s="143">
        <v>21.52</v>
      </c>
    </row>
    <row r="58" spans="2:23" ht="15.6">
      <c r="B58" s="106">
        <f>B57+1</f>
        <v>17</v>
      </c>
      <c r="C58" s="105" t="s">
        <v>169</v>
      </c>
      <c r="D58" s="103"/>
      <c r="E58" s="109">
        <f>LN(E52)-0.5*E57^2</f>
        <v>0.19939552653846943</v>
      </c>
      <c r="I58" s="106">
        <f>I57+1</f>
        <v>17</v>
      </c>
      <c r="J58" s="105" t="s">
        <v>169</v>
      </c>
      <c r="K58" s="103"/>
      <c r="L58" s="109">
        <v>-1.818755742136632</v>
      </c>
      <c r="M58" s="109">
        <v>-0.65856501763236064</v>
      </c>
      <c r="N58" s="109">
        <v>-4.0200575628711196E-2</v>
      </c>
      <c r="O58" s="109">
        <v>0.40252051240999598</v>
      </c>
      <c r="P58" t="str">
        <f t="shared" si="1"/>
        <v/>
      </c>
      <c r="U58" s="144">
        <v>4.3536999999999999E-2</v>
      </c>
      <c r="V58" s="144">
        <v>-219957</v>
      </c>
      <c r="W58" s="143">
        <v>14934100</v>
      </c>
    </row>
    <row r="59" spans="2:23" ht="15.6">
      <c r="B59" s="106">
        <f>B58+1</f>
        <v>18</v>
      </c>
      <c r="C59" s="103" t="s">
        <v>168</v>
      </c>
      <c r="D59" s="103"/>
      <c r="E59" s="109">
        <f>E58+1.6449*E57</f>
        <v>0.97552666362167262</v>
      </c>
      <c r="I59" s="106">
        <f>I58+1</f>
        <v>18</v>
      </c>
      <c r="J59" s="103" t="s">
        <v>168</v>
      </c>
      <c r="K59" s="103"/>
      <c r="L59" s="109">
        <v>-0.25139168372340781</v>
      </c>
      <c r="M59" s="109">
        <v>0.2997966493307046</v>
      </c>
      <c r="N59" s="109">
        <v>0.73593056145449198</v>
      </c>
      <c r="O59" s="109">
        <v>1.100638551127151</v>
      </c>
      <c r="P59" t="str">
        <f t="shared" si="1"/>
        <v/>
      </c>
      <c r="U59" s="144">
        <v>11858.1</v>
      </c>
      <c r="V59" s="144">
        <v>-219957</v>
      </c>
      <c r="W59" s="143">
        <v>1889390</v>
      </c>
    </row>
    <row r="60" spans="2:23" ht="15.6">
      <c r="B60" s="106">
        <f>B59+1</f>
        <v>19</v>
      </c>
      <c r="C60" s="103" t="s">
        <v>167</v>
      </c>
      <c r="D60" s="103" t="s">
        <v>126</v>
      </c>
      <c r="E60" s="109">
        <v>2.6525058127308667</v>
      </c>
      <c r="I60" s="106">
        <f>I59+1</f>
        <v>19</v>
      </c>
      <c r="J60" s="103" t="s">
        <v>167</v>
      </c>
      <c r="K60" s="103" t="s">
        <v>126</v>
      </c>
      <c r="L60" s="109">
        <v>0.77768332816019681</v>
      </c>
      <c r="M60" s="109">
        <v>1.349547878014234</v>
      </c>
      <c r="N60" s="109">
        <v>2.0873778911039058</v>
      </c>
      <c r="O60" s="109">
        <v>3.0060257869038067</v>
      </c>
      <c r="P60" t="str">
        <f t="shared" si="1"/>
        <v/>
      </c>
      <c r="U60" s="144">
        <v>23716.1</v>
      </c>
      <c r="V60" s="144">
        <v>-219957</v>
      </c>
      <c r="W60" s="143">
        <v>709771</v>
      </c>
    </row>
    <row r="61" spans="2:23" ht="15.6">
      <c r="B61" s="106"/>
      <c r="C61" s="103" t="s">
        <v>166</v>
      </c>
      <c r="D61" s="103" t="s">
        <v>126</v>
      </c>
      <c r="E61" s="109">
        <v>2.6525058127308667</v>
      </c>
      <c r="F61" t="s">
        <v>165</v>
      </c>
      <c r="I61" s="106"/>
      <c r="J61" s="103" t="s">
        <v>166</v>
      </c>
      <c r="K61" s="103" t="s">
        <v>126</v>
      </c>
      <c r="L61" s="109">
        <v>0.77768332816019681</v>
      </c>
      <c r="M61" s="109">
        <v>1.349547878014234</v>
      </c>
      <c r="N61" s="109">
        <v>2.0873778911039058</v>
      </c>
      <c r="O61" s="109">
        <v>3.0060257869038067</v>
      </c>
      <c r="P61" t="str">
        <f t="shared" si="1"/>
        <v>Gap value used for calculation</v>
      </c>
      <c r="U61" s="144">
        <v>35574.199999999997</v>
      </c>
      <c r="V61" s="144">
        <v>-219957</v>
      </c>
      <c r="W61" s="143">
        <v>478063</v>
      </c>
    </row>
    <row r="62" spans="2:23">
      <c r="B62" s="106">
        <f>B60+1</f>
        <v>20</v>
      </c>
      <c r="C62" s="103" t="s">
        <v>164</v>
      </c>
      <c r="D62" s="103"/>
      <c r="E62" s="128"/>
      <c r="F62" t="s">
        <v>163</v>
      </c>
      <c r="I62" s="106">
        <f>I60+1</f>
        <v>20</v>
      </c>
      <c r="J62" s="103" t="s">
        <v>164</v>
      </c>
      <c r="K62" s="103"/>
      <c r="L62" s="128"/>
      <c r="M62" s="128"/>
      <c r="N62" s="128"/>
      <c r="O62" s="128"/>
      <c r="P62" t="str">
        <f t="shared" si="1"/>
        <v>Gap shape formula</v>
      </c>
      <c r="U62" s="144">
        <v>47432.2</v>
      </c>
      <c r="V62" s="144">
        <v>-219957</v>
      </c>
      <c r="W62" s="143">
        <v>239184</v>
      </c>
    </row>
    <row r="63" spans="2:23">
      <c r="B63" s="106">
        <f>B62+1</f>
        <v>21</v>
      </c>
      <c r="C63" s="112" t="s">
        <v>162</v>
      </c>
      <c r="D63" s="103"/>
      <c r="E63" s="128"/>
      <c r="F63" t="s">
        <v>161</v>
      </c>
      <c r="I63" s="106">
        <f>I62+1</f>
        <v>21</v>
      </c>
      <c r="J63" s="112" t="s">
        <v>162</v>
      </c>
      <c r="K63" s="103"/>
      <c r="L63" s="128"/>
      <c r="M63" s="128"/>
      <c r="N63" s="128"/>
      <c r="O63" s="128"/>
      <c r="P63" t="str">
        <f t="shared" si="1"/>
        <v>Stress range formula</v>
      </c>
      <c r="U63" s="144">
        <v>59290.2</v>
      </c>
      <c r="V63" s="144">
        <v>-219957</v>
      </c>
      <c r="W63" s="143">
        <v>102567</v>
      </c>
    </row>
    <row r="64" spans="2:23" ht="15.6">
      <c r="B64" s="106">
        <f>B63+1</f>
        <v>22</v>
      </c>
      <c r="C64" s="103" t="s">
        <v>160</v>
      </c>
      <c r="D64" s="103"/>
      <c r="E64" s="104"/>
      <c r="I64" s="106">
        <f>I63+1</f>
        <v>22</v>
      </c>
      <c r="J64" s="103" t="s">
        <v>160</v>
      </c>
      <c r="K64" s="103"/>
      <c r="L64" s="104"/>
      <c r="M64" s="104"/>
      <c r="N64" s="104"/>
      <c r="O64" s="104"/>
      <c r="P64" t="str">
        <f t="shared" si="1"/>
        <v/>
      </c>
      <c r="U64" s="144">
        <v>71148.3</v>
      </c>
      <c r="V64" s="144">
        <v>-219957</v>
      </c>
      <c r="W64" s="143">
        <v>43247.7</v>
      </c>
    </row>
    <row r="65" spans="2:23" ht="15.6">
      <c r="B65" s="106">
        <f>B64+1</f>
        <v>23</v>
      </c>
      <c r="C65" s="103" t="s">
        <v>159</v>
      </c>
      <c r="D65" s="103"/>
      <c r="E65" s="104"/>
      <c r="I65" s="106">
        <f>I64+1</f>
        <v>23</v>
      </c>
      <c r="J65" s="103" t="s">
        <v>159</v>
      </c>
      <c r="K65" s="103"/>
      <c r="L65" s="104"/>
      <c r="M65" s="104"/>
      <c r="N65" s="104"/>
      <c r="O65" s="104"/>
      <c r="P65" t="str">
        <f t="shared" si="1"/>
        <v/>
      </c>
      <c r="U65" s="144">
        <v>83006.3</v>
      </c>
      <c r="V65" s="144">
        <v>-219957</v>
      </c>
      <c r="W65" s="143">
        <v>28127.599999999999</v>
      </c>
    </row>
    <row r="66" spans="2:23" ht="15.6">
      <c r="B66" s="106">
        <f>B65+1</f>
        <v>24</v>
      </c>
      <c r="C66" s="103" t="s">
        <v>158</v>
      </c>
      <c r="D66" s="103"/>
      <c r="E66" s="128"/>
      <c r="F66" t="s">
        <v>157</v>
      </c>
      <c r="I66" s="106">
        <f>I65+1</f>
        <v>24</v>
      </c>
      <c r="J66" s="103" t="s">
        <v>158</v>
      </c>
      <c r="K66" s="103"/>
      <c r="L66" s="128"/>
      <c r="M66" s="128"/>
      <c r="N66" s="128"/>
      <c r="O66" s="128"/>
      <c r="P66" t="str">
        <f t="shared" si="1"/>
        <v>Summarized formula for bolt force curve</v>
      </c>
      <c r="U66" s="144">
        <v>94864.4</v>
      </c>
      <c r="V66" s="144">
        <v>-219957</v>
      </c>
      <c r="W66" s="143">
        <v>19977.5</v>
      </c>
    </row>
    <row r="67" spans="2:23" ht="15.6">
      <c r="B67" s="106"/>
      <c r="C67" s="103" t="s">
        <v>320</v>
      </c>
      <c r="D67" s="103" t="s">
        <v>128</v>
      </c>
      <c r="E67" s="109">
        <v>-123.29166666666667</v>
      </c>
      <c r="I67" s="106"/>
      <c r="J67" s="103" t="s">
        <v>320</v>
      </c>
      <c r="K67" s="103" t="s">
        <v>128</v>
      </c>
      <c r="L67" s="109">
        <v>-30.138888888888889</v>
      </c>
      <c r="M67" s="109">
        <v>-30.138888888888889</v>
      </c>
      <c r="N67" s="109">
        <v>-30.138888888888889</v>
      </c>
      <c r="O67" s="109">
        <v>-30.138888888888889</v>
      </c>
      <c r="U67" s="144">
        <v>106722</v>
      </c>
      <c r="V67" s="144">
        <v>-219957</v>
      </c>
      <c r="W67" s="143">
        <v>10139.299999999999</v>
      </c>
    </row>
    <row r="68" spans="2:23" ht="15.6">
      <c r="B68" s="106"/>
      <c r="C68" s="103" t="s">
        <v>319</v>
      </c>
      <c r="D68" s="103" t="s">
        <v>128</v>
      </c>
      <c r="E68" s="109">
        <v>2800</v>
      </c>
      <c r="I68" s="106"/>
      <c r="J68" s="103" t="s">
        <v>319</v>
      </c>
      <c r="K68" s="103" t="s">
        <v>128</v>
      </c>
      <c r="L68" s="109">
        <v>808.99913815980972</v>
      </c>
      <c r="M68" s="109">
        <v>808.99913815980972</v>
      </c>
      <c r="N68" s="109">
        <v>808.99913815980972</v>
      </c>
      <c r="O68" s="109">
        <v>808.99913815980972</v>
      </c>
      <c r="U68" s="144">
        <v>118580</v>
      </c>
      <c r="V68" s="144">
        <v>-219957</v>
      </c>
      <c r="W68" s="143">
        <v>6827.84</v>
      </c>
    </row>
    <row r="69" spans="2:23" ht="15.6">
      <c r="B69" s="106"/>
      <c r="C69" s="103" t="s">
        <v>318</v>
      </c>
      <c r="D69" s="103" t="s">
        <v>128</v>
      </c>
      <c r="E69" s="109">
        <v>1538.5224948859584</v>
      </c>
      <c r="I69" s="106"/>
      <c r="J69" s="103" t="s">
        <v>318</v>
      </c>
      <c r="K69" s="103" t="s">
        <v>128</v>
      </c>
      <c r="L69" s="109">
        <v>564.99106144430425</v>
      </c>
      <c r="M69" s="109">
        <v>600.90446861263388</v>
      </c>
      <c r="N69" s="109">
        <v>606.3478747816921</v>
      </c>
      <c r="O69" s="109">
        <v>608.41367566097222</v>
      </c>
      <c r="U69" s="144">
        <v>130438</v>
      </c>
      <c r="V69" s="144">
        <v>-219957</v>
      </c>
      <c r="W69" s="143">
        <v>4522.49</v>
      </c>
    </row>
    <row r="70" spans="2:23" ht="15.6">
      <c r="B70" s="106"/>
      <c r="C70" s="103" t="s">
        <v>317</v>
      </c>
      <c r="D70" s="103" t="s">
        <v>128</v>
      </c>
      <c r="E70" s="109">
        <v>3500</v>
      </c>
      <c r="I70" s="106"/>
      <c r="J70" s="103" t="s">
        <v>317</v>
      </c>
      <c r="K70" s="103" t="s">
        <v>128</v>
      </c>
      <c r="L70" s="109">
        <v>1103.1006982045617</v>
      </c>
      <c r="M70" s="109">
        <v>1103.1006982045617</v>
      </c>
      <c r="N70" s="109">
        <v>1103.1006982045617</v>
      </c>
      <c r="O70" s="109">
        <v>1103.1006982045617</v>
      </c>
      <c r="U70" s="144">
        <v>142297</v>
      </c>
      <c r="V70" s="144">
        <v>-219957</v>
      </c>
      <c r="W70" s="143">
        <v>4573.91</v>
      </c>
    </row>
    <row r="71" spans="2:23" ht="15.6">
      <c r="B71" s="106"/>
      <c r="C71" s="103" t="s">
        <v>316</v>
      </c>
      <c r="D71" s="103" t="s">
        <v>128</v>
      </c>
      <c r="E71" s="109">
        <v>116.87344577968555</v>
      </c>
      <c r="I71" s="106"/>
      <c r="J71" s="103" t="s">
        <v>316</v>
      </c>
      <c r="K71" s="103" t="s">
        <v>128</v>
      </c>
      <c r="L71" s="109">
        <v>57.880991957583241</v>
      </c>
      <c r="M71" s="109">
        <v>40.092114426322802</v>
      </c>
      <c r="N71" s="109">
        <v>37.932765944767311</v>
      </c>
      <c r="O71" s="109">
        <v>37.127690761952316</v>
      </c>
      <c r="U71" s="144">
        <v>154155</v>
      </c>
      <c r="V71" s="144">
        <v>-219957</v>
      </c>
      <c r="W71" s="143">
        <v>1350.64</v>
      </c>
    </row>
    <row r="72" spans="2:23" ht="15.6">
      <c r="B72" s="106"/>
      <c r="C72" s="103" t="s">
        <v>315</v>
      </c>
      <c r="D72" s="103" t="s">
        <v>128</v>
      </c>
      <c r="E72" s="109">
        <v>2816.8015458206596</v>
      </c>
      <c r="I72" s="106"/>
      <c r="J72" s="103" t="s">
        <v>315</v>
      </c>
      <c r="K72" s="103" t="s">
        <v>128</v>
      </c>
      <c r="L72" s="109">
        <v>820.46246254221171</v>
      </c>
      <c r="M72" s="109">
        <v>813.47642204444719</v>
      </c>
      <c r="N72" s="109">
        <v>812.4757480536274</v>
      </c>
      <c r="O72" s="109">
        <v>812.09045269159333</v>
      </c>
      <c r="U72" s="144">
        <v>166013</v>
      </c>
      <c r="V72" s="144">
        <v>-219957</v>
      </c>
      <c r="W72" s="143">
        <v>3.91</v>
      </c>
    </row>
    <row r="73" spans="2:23" ht="15.6">
      <c r="B73" s="106"/>
      <c r="C73" s="103" t="s">
        <v>314</v>
      </c>
      <c r="D73" s="103"/>
      <c r="E73" s="110">
        <v>567394046.29761851</v>
      </c>
      <c r="I73" s="106"/>
      <c r="J73" s="103" t="s">
        <v>314</v>
      </c>
      <c r="K73" s="103"/>
      <c r="L73" s="110">
        <v>26564082.328809023</v>
      </c>
      <c r="M73" s="110">
        <v>24854535.123648729</v>
      </c>
      <c r="N73" s="110">
        <v>24627555.03568396</v>
      </c>
      <c r="O73" s="110">
        <v>24538587.985323582</v>
      </c>
      <c r="U73" s="144">
        <v>4.3536999999999999E-2</v>
      </c>
      <c r="V73" s="144">
        <v>-204471</v>
      </c>
      <c r="W73" s="143">
        <v>17233800</v>
      </c>
    </row>
    <row r="74" spans="2:23" ht="15.6">
      <c r="B74" s="106"/>
      <c r="C74" s="103" t="s">
        <v>313</v>
      </c>
      <c r="D74" s="103"/>
      <c r="E74" s="111">
        <v>140194.53193169908</v>
      </c>
      <c r="I74" s="106"/>
      <c r="J74" s="103" t="s">
        <v>313</v>
      </c>
      <c r="K74" s="103"/>
      <c r="L74" s="111">
        <v>19064.61660154846</v>
      </c>
      <c r="M74" s="111">
        <v>17829.687383462817</v>
      </c>
      <c r="N74" s="111">
        <v>17807.163701545032</v>
      </c>
      <c r="O74" s="111">
        <v>17809.23919208629</v>
      </c>
      <c r="U74" s="144">
        <v>11858.1</v>
      </c>
      <c r="V74" s="144">
        <v>-204471</v>
      </c>
      <c r="W74" s="143">
        <v>2335750</v>
      </c>
    </row>
    <row r="75" spans="2:23" ht="15.6">
      <c r="B75" s="106"/>
      <c r="C75" s="103" t="s">
        <v>312</v>
      </c>
      <c r="D75" s="103"/>
      <c r="E75" s="111">
        <v>40593729.078985967</v>
      </c>
      <c r="I75" s="106"/>
      <c r="J75" s="103" t="s">
        <v>312</v>
      </c>
      <c r="K75" s="103"/>
      <c r="L75" s="111">
        <v>2930697.3626370565</v>
      </c>
      <c r="M75" s="111">
        <v>1407034.0362689719</v>
      </c>
      <c r="N75" s="111">
        <v>1119011.3051081342</v>
      </c>
      <c r="O75" s="111">
        <v>1003234.3358982865</v>
      </c>
      <c r="U75" s="144">
        <v>23716.1</v>
      </c>
      <c r="V75" s="144">
        <v>-204471</v>
      </c>
      <c r="W75" s="143">
        <v>923772</v>
      </c>
    </row>
    <row r="76" spans="2:23" ht="15.6">
      <c r="B76" s="106"/>
      <c r="C76" s="105" t="s">
        <v>311</v>
      </c>
      <c r="D76" s="103"/>
      <c r="E76" s="136">
        <v>2.4708495418043568E-4</v>
      </c>
      <c r="I76" s="106"/>
      <c r="J76" s="105" t="s">
        <v>311</v>
      </c>
      <c r="K76" s="103"/>
      <c r="L76" s="136">
        <v>7.1768399019275309E-4</v>
      </c>
      <c r="M76" s="136">
        <v>7.1736153159823648E-4</v>
      </c>
      <c r="N76" s="136">
        <v>7.2305852837374401E-4</v>
      </c>
      <c r="O76" s="136">
        <v>7.2576462845938463E-4</v>
      </c>
      <c r="U76" s="144">
        <v>35574.199999999997</v>
      </c>
      <c r="V76" s="144">
        <v>-204471</v>
      </c>
      <c r="W76" s="143">
        <v>716447</v>
      </c>
    </row>
    <row r="77" spans="2:23" ht="15.6">
      <c r="B77" s="106"/>
      <c r="C77" s="105" t="s">
        <v>310</v>
      </c>
      <c r="D77" s="103"/>
      <c r="E77" s="136">
        <v>7.1544157616509604E-2</v>
      </c>
      <c r="I77" s="106"/>
      <c r="J77" s="105" t="s">
        <v>310</v>
      </c>
      <c r="K77" s="103"/>
      <c r="L77" s="136">
        <v>0.1103255639084767</v>
      </c>
      <c r="M77" s="136">
        <v>5.6610756518644334E-2</v>
      </c>
      <c r="N77" s="136">
        <v>4.5437368974985494E-2</v>
      </c>
      <c r="O77" s="136">
        <v>4.0883947214009071E-2</v>
      </c>
      <c r="U77" s="144">
        <v>47432.2</v>
      </c>
      <c r="V77" s="144">
        <v>-204471</v>
      </c>
      <c r="W77" s="143">
        <v>318889</v>
      </c>
    </row>
    <row r="78" spans="2:23" ht="14.4">
      <c r="B78" s="106"/>
      <c r="C78" s="112" t="s">
        <v>309</v>
      </c>
      <c r="D78" s="103"/>
      <c r="E78" s="108">
        <v>2805.0649007961642</v>
      </c>
      <c r="I78" s="106"/>
      <c r="J78" s="112" t="s">
        <v>309</v>
      </c>
      <c r="K78" s="103"/>
      <c r="L78" s="108">
        <v>811.67231793674671</v>
      </c>
      <c r="M78" s="108">
        <v>810.05370623124679</v>
      </c>
      <c r="N78" s="108">
        <v>809.71177786358919</v>
      </c>
      <c r="O78" s="108">
        <v>809.57208469795864</v>
      </c>
      <c r="U78" s="144">
        <v>59290.2</v>
      </c>
      <c r="V78" s="144">
        <v>-204471</v>
      </c>
      <c r="W78" s="143">
        <v>143014</v>
      </c>
    </row>
    <row r="79" spans="2:23" ht="15.6">
      <c r="B79" s="106">
        <f>B66+1</f>
        <v>25</v>
      </c>
      <c r="C79" s="105" t="s">
        <v>156</v>
      </c>
      <c r="D79" s="103" t="s">
        <v>128</v>
      </c>
      <c r="E79" s="107">
        <v>605.65748798701384</v>
      </c>
      <c r="I79" s="106">
        <f>I66+1</f>
        <v>25</v>
      </c>
      <c r="J79" s="105" t="s">
        <v>156</v>
      </c>
      <c r="K79" s="103" t="s">
        <v>128</v>
      </c>
      <c r="L79" s="107">
        <v>367.16422952629608</v>
      </c>
      <c r="M79" s="107">
        <v>179.72823837335213</v>
      </c>
      <c r="N79" s="107">
        <v>143.98598165084377</v>
      </c>
      <c r="O79" s="107">
        <v>129.56103491512195</v>
      </c>
      <c r="P79" t="str">
        <f t="shared" ref="P79:P84" si="2">IF(F79&lt;&gt;"",F79,"")</f>
        <v/>
      </c>
      <c r="U79" s="144">
        <v>71148.3</v>
      </c>
      <c r="V79" s="144">
        <v>-204471</v>
      </c>
      <c r="W79" s="143">
        <v>45282.7</v>
      </c>
    </row>
    <row r="80" spans="2:23" ht="15.6">
      <c r="B80" s="106"/>
      <c r="C80" s="103" t="s">
        <v>145</v>
      </c>
      <c r="D80" s="103" t="s">
        <v>144</v>
      </c>
      <c r="E80" s="111">
        <v>38819.613222857879</v>
      </c>
      <c r="I80" s="106"/>
      <c r="J80" s="103" t="s">
        <v>145</v>
      </c>
      <c r="K80" s="103" t="s">
        <v>144</v>
      </c>
      <c r="L80" s="111">
        <v>12462.741690022009</v>
      </c>
      <c r="M80" s="111">
        <v>12462.741690022009</v>
      </c>
      <c r="N80" s="111">
        <v>12462.741690022009</v>
      </c>
      <c r="O80" s="111">
        <v>12462.741690022009</v>
      </c>
      <c r="P80" t="str">
        <f t="shared" si="2"/>
        <v/>
      </c>
      <c r="U80" s="144">
        <v>83006.3</v>
      </c>
      <c r="V80" s="144">
        <v>-204471</v>
      </c>
      <c r="W80" s="143">
        <v>37262.699999999997</v>
      </c>
    </row>
    <row r="81" spans="2:23" ht="16.8">
      <c r="B81" s="106"/>
      <c r="C81" s="103" t="s">
        <v>143</v>
      </c>
      <c r="D81" s="103" t="s">
        <v>274</v>
      </c>
      <c r="E81" s="114">
        <v>129398710.7428596</v>
      </c>
      <c r="I81" s="106"/>
      <c r="J81" s="103" t="s">
        <v>143</v>
      </c>
      <c r="K81" s="103" t="s">
        <v>274</v>
      </c>
      <c r="L81" s="135">
        <v>16227528.242216157</v>
      </c>
      <c r="M81" s="135">
        <v>16227528.242216157</v>
      </c>
      <c r="N81" s="135">
        <v>16227528.242216157</v>
      </c>
      <c r="O81" s="135">
        <v>16227528.242216157</v>
      </c>
      <c r="P81" t="str">
        <f t="shared" si="2"/>
        <v/>
      </c>
      <c r="U81" s="144">
        <v>94864.4</v>
      </c>
      <c r="V81" s="144">
        <v>-204471</v>
      </c>
      <c r="W81" s="143">
        <v>15590.4</v>
      </c>
    </row>
    <row r="82" spans="2:23" ht="15.6">
      <c r="B82" s="106"/>
      <c r="C82" s="103" t="s">
        <v>149</v>
      </c>
      <c r="D82" s="103" t="s">
        <v>144</v>
      </c>
      <c r="E82" s="111">
        <v>87000</v>
      </c>
      <c r="I82" s="106"/>
      <c r="J82" s="103" t="s">
        <v>149</v>
      </c>
      <c r="K82" s="103" t="s">
        <v>144</v>
      </c>
      <c r="L82" s="111">
        <v>31875</v>
      </c>
      <c r="M82" s="111">
        <v>31875</v>
      </c>
      <c r="N82" s="111">
        <v>31875</v>
      </c>
      <c r="O82" s="111">
        <v>31875</v>
      </c>
      <c r="P82" t="str">
        <f t="shared" si="2"/>
        <v/>
      </c>
      <c r="U82" s="144">
        <v>106722</v>
      </c>
      <c r="V82" s="144">
        <v>-204471</v>
      </c>
      <c r="W82" s="143">
        <v>13934.6</v>
      </c>
    </row>
    <row r="83" spans="2:23" ht="16.8">
      <c r="B83" s="106"/>
      <c r="C83" s="103" t="s">
        <v>148</v>
      </c>
      <c r="D83" s="103" t="s">
        <v>274</v>
      </c>
      <c r="E83" s="114">
        <v>290000000</v>
      </c>
      <c r="I83" s="106"/>
      <c r="J83" s="103" t="s">
        <v>148</v>
      </c>
      <c r="K83" s="103" t="s">
        <v>274</v>
      </c>
      <c r="L83" s="135">
        <v>41503906.25</v>
      </c>
      <c r="M83" s="135">
        <v>41503906.25</v>
      </c>
      <c r="N83" s="135">
        <v>41503906.25</v>
      </c>
      <c r="O83" s="135">
        <v>41503906.25</v>
      </c>
      <c r="P83" t="str">
        <f t="shared" si="2"/>
        <v/>
      </c>
      <c r="U83" s="144">
        <v>118580</v>
      </c>
      <c r="V83" s="144">
        <v>-204471</v>
      </c>
      <c r="W83" s="143">
        <v>10340.4</v>
      </c>
    </row>
    <row r="84" spans="2:23" ht="15.6">
      <c r="B84" s="106">
        <f>B79+1</f>
        <v>26</v>
      </c>
      <c r="C84" s="103" t="s">
        <v>155</v>
      </c>
      <c r="D84" s="103" t="s">
        <v>135</v>
      </c>
      <c r="E84" s="111">
        <v>2352.7703256052623</v>
      </c>
      <c r="I84" s="106">
        <f>I79+1</f>
        <v>26</v>
      </c>
      <c r="J84" s="103" t="s">
        <v>155</v>
      </c>
      <c r="K84" s="103" t="s">
        <v>135</v>
      </c>
      <c r="L84" s="111">
        <v>9470.7416620040567</v>
      </c>
      <c r="M84" s="111">
        <v>2671.4954317364864</v>
      </c>
      <c r="N84" s="111">
        <v>1383.7114904903785</v>
      </c>
      <c r="O84" s="111">
        <v>864.58584624042021</v>
      </c>
      <c r="P84" t="str">
        <f t="shared" si="2"/>
        <v/>
      </c>
      <c r="U84" s="144">
        <v>130438</v>
      </c>
      <c r="V84" s="144">
        <v>-204471</v>
      </c>
      <c r="W84" s="143">
        <v>6691.73</v>
      </c>
    </row>
    <row r="85" spans="2:23" ht="15.6">
      <c r="B85" s="106"/>
      <c r="C85" s="103" t="s">
        <v>358</v>
      </c>
      <c r="D85" s="103" t="s">
        <v>123</v>
      </c>
      <c r="E85" s="108">
        <v>2.5</v>
      </c>
      <c r="I85" s="106"/>
      <c r="J85" s="103" t="s">
        <v>358</v>
      </c>
      <c r="K85" s="103" t="s">
        <v>123</v>
      </c>
      <c r="L85" s="111"/>
      <c r="M85" s="111"/>
      <c r="N85" s="111"/>
      <c r="O85" s="111"/>
      <c r="U85" s="144">
        <v>142297</v>
      </c>
      <c r="V85" s="144">
        <v>-204471</v>
      </c>
      <c r="W85" s="143">
        <v>5089.51</v>
      </c>
    </row>
    <row r="86" spans="2:23" ht="15.6">
      <c r="B86" s="106">
        <f>B84+1</f>
        <v>27</v>
      </c>
      <c r="C86" s="103" t="s">
        <v>152</v>
      </c>
      <c r="D86" s="103" t="s">
        <v>135</v>
      </c>
      <c r="E86" s="111">
        <v>1050.2469446066798</v>
      </c>
      <c r="F86" t="s">
        <v>154</v>
      </c>
      <c r="I86" s="106">
        <f>I84+1</f>
        <v>27</v>
      </c>
      <c r="J86" s="103" t="s">
        <v>152</v>
      </c>
      <c r="K86" s="103" t="s">
        <v>135</v>
      </c>
      <c r="L86" s="111">
        <v>2762.8420208404168</v>
      </c>
      <c r="M86" s="111">
        <v>1041.2419008380168</v>
      </c>
      <c r="N86" s="111">
        <v>512.00952619052384</v>
      </c>
      <c r="O86" s="111">
        <v>278.26526530530617</v>
      </c>
      <c r="P86" t="str">
        <f t="shared" ref="P86:P121" si="3">IF(F86&lt;&gt;"",F86,"")</f>
        <v>Interpolated value</v>
      </c>
      <c r="U86" s="144">
        <v>154155</v>
      </c>
      <c r="V86" s="144">
        <v>-204471</v>
      </c>
      <c r="W86" s="143">
        <v>4016.62</v>
      </c>
    </row>
    <row r="87" spans="2:23" ht="15.6">
      <c r="B87" s="106"/>
      <c r="C87" s="103" t="s">
        <v>152</v>
      </c>
      <c r="D87" s="103" t="s">
        <v>135</v>
      </c>
      <c r="E87" s="111">
        <v>1237.2237731143939</v>
      </c>
      <c r="F87" t="s">
        <v>153</v>
      </c>
      <c r="I87" s="106"/>
      <c r="J87" s="103" t="s">
        <v>152</v>
      </c>
      <c r="K87" s="103" t="s">
        <v>135</v>
      </c>
      <c r="L87" s="111">
        <v>2873.9789957155294</v>
      </c>
      <c r="M87" s="111">
        <v>1117.5739946902522</v>
      </c>
      <c r="N87" s="111">
        <v>609.55648707118451</v>
      </c>
      <c r="O87" s="111">
        <v>386.82104021159915</v>
      </c>
      <c r="P87" t="str">
        <f t="shared" si="3"/>
        <v>Simplified formula</v>
      </c>
      <c r="U87" s="144">
        <v>166013</v>
      </c>
      <c r="V87" s="144">
        <v>-204471</v>
      </c>
      <c r="W87" s="143">
        <v>1978.79</v>
      </c>
    </row>
    <row r="88" spans="2:23" ht="15.6">
      <c r="B88" s="106"/>
      <c r="C88" s="103" t="s">
        <v>152</v>
      </c>
      <c r="D88" s="103" t="s">
        <v>135</v>
      </c>
      <c r="E88" s="111">
        <v>1050.2469446066798</v>
      </c>
      <c r="F88" t="s">
        <v>151</v>
      </c>
      <c r="I88" s="106"/>
      <c r="J88" s="103" t="s">
        <v>152</v>
      </c>
      <c r="K88" s="103" t="s">
        <v>135</v>
      </c>
      <c r="L88" s="111">
        <v>2873.9789957155294</v>
      </c>
      <c r="M88" s="111">
        <v>1117.5739946902522</v>
      </c>
      <c r="N88" s="111">
        <v>609.55648707118451</v>
      </c>
      <c r="O88" s="111">
        <v>386.82104021159915</v>
      </c>
      <c r="P88" t="str">
        <f t="shared" si="3"/>
        <v>Value used</v>
      </c>
      <c r="U88" s="144">
        <v>177871</v>
      </c>
      <c r="V88" s="144">
        <v>-204471</v>
      </c>
      <c r="W88" s="143">
        <v>75.025000000000006</v>
      </c>
    </row>
    <row r="89" spans="2:23" ht="15.6">
      <c r="B89" s="106">
        <f>B86+1</f>
        <v>28</v>
      </c>
      <c r="C89" s="103" t="s">
        <v>150</v>
      </c>
      <c r="D89" s="103" t="s">
        <v>123</v>
      </c>
      <c r="E89" s="109">
        <v>2.4780972450961727</v>
      </c>
      <c r="I89" s="106">
        <f>I86+1</f>
        <v>28</v>
      </c>
      <c r="J89" s="103" t="s">
        <v>150</v>
      </c>
      <c r="K89" s="103" t="s">
        <v>123</v>
      </c>
      <c r="L89" s="109">
        <v>1.8202477434344697</v>
      </c>
      <c r="M89" s="109">
        <v>2.3404954868689396</v>
      </c>
      <c r="N89" s="109">
        <v>2.8607432303034095</v>
      </c>
      <c r="O89" s="109">
        <v>3.3809909737378794</v>
      </c>
      <c r="P89" t="str">
        <f t="shared" si="3"/>
        <v/>
      </c>
      <c r="U89" s="144">
        <v>189729</v>
      </c>
      <c r="V89" s="144">
        <v>-204471</v>
      </c>
      <c r="W89" s="143">
        <v>3.91</v>
      </c>
    </row>
    <row r="90" spans="2:23" ht="15.6">
      <c r="B90" s="106">
        <f>B89+1</f>
        <v>29</v>
      </c>
      <c r="C90" s="103" t="s">
        <v>147</v>
      </c>
      <c r="D90" s="103" t="s">
        <v>135</v>
      </c>
      <c r="E90" s="107">
        <v>19.194112486621197</v>
      </c>
      <c r="I90" s="106">
        <f>I89+1</f>
        <v>29</v>
      </c>
      <c r="J90" s="103" t="s">
        <v>147</v>
      </c>
      <c r="K90" s="103" t="s">
        <v>135</v>
      </c>
      <c r="L90" s="107">
        <v>1430.9035779226776</v>
      </c>
      <c r="M90" s="107">
        <v>96.742110644514142</v>
      </c>
      <c r="N90" s="107">
        <v>19.403281333533013</v>
      </c>
      <c r="O90" s="107">
        <v>6.1725262613190992</v>
      </c>
      <c r="P90" t="str">
        <f t="shared" si="3"/>
        <v/>
      </c>
      <c r="U90" s="144">
        <v>4.3536999999999999E-2</v>
      </c>
      <c r="V90" s="144">
        <v>-188985</v>
      </c>
      <c r="W90" s="143">
        <v>19315100</v>
      </c>
    </row>
    <row r="91" spans="2:23" ht="15.6">
      <c r="B91" s="106">
        <f>B90+1</f>
        <v>30</v>
      </c>
      <c r="C91" s="105" t="s">
        <v>146</v>
      </c>
      <c r="D91" s="103" t="s">
        <v>128</v>
      </c>
      <c r="E91" s="107">
        <v>570.65000869251935</v>
      </c>
      <c r="F91" t="s">
        <v>307</v>
      </c>
      <c r="I91" s="106">
        <f>I90+1</f>
        <v>30</v>
      </c>
      <c r="J91" s="105" t="s">
        <v>146</v>
      </c>
      <c r="K91" s="103" t="s">
        <v>128</v>
      </c>
      <c r="L91" s="107">
        <v>97.911398460104465</v>
      </c>
      <c r="M91" s="107">
        <v>108.16711898645032</v>
      </c>
      <c r="N91" s="107">
        <v>110.332215339211</v>
      </c>
      <c r="O91" s="107">
        <v>111.22700155817159</v>
      </c>
      <c r="P91" t="str">
        <f t="shared" si="3"/>
        <v>(valid in case T-Flange is calculated)</v>
      </c>
      <c r="U91" s="144">
        <v>11858.1</v>
      </c>
      <c r="V91" s="144">
        <v>-188985</v>
      </c>
      <c r="W91" s="143">
        <v>2372400</v>
      </c>
    </row>
    <row r="92" spans="2:23" ht="15.6">
      <c r="B92" s="106">
        <f>B91+1</f>
        <v>31</v>
      </c>
      <c r="C92" s="103" t="s">
        <v>142</v>
      </c>
      <c r="D92" s="103" t="s">
        <v>128</v>
      </c>
      <c r="E92" s="107">
        <v>262.28971896415618</v>
      </c>
      <c r="F92" t="s">
        <v>307</v>
      </c>
      <c r="I92" s="106">
        <f>I91+1</f>
        <v>31</v>
      </c>
      <c r="J92" s="103" t="s">
        <v>142</v>
      </c>
      <c r="K92" s="103" t="s">
        <v>128</v>
      </c>
      <c r="L92" s="107">
        <v>148.09719855410455</v>
      </c>
      <c r="M92" s="107">
        <v>78.871085001270089</v>
      </c>
      <c r="N92" s="107">
        <v>64.256684620135459</v>
      </c>
      <c r="O92" s="107">
        <v>58.216877642151466</v>
      </c>
      <c r="P92" t="str">
        <f t="shared" si="3"/>
        <v>(valid in case T-Flange is calculated)</v>
      </c>
      <c r="U92" s="144">
        <v>23716.1</v>
      </c>
      <c r="V92" s="144">
        <v>-188985</v>
      </c>
      <c r="W92" s="143">
        <v>1065580</v>
      </c>
    </row>
    <row r="93" spans="2:23" ht="15.6">
      <c r="B93" s="106"/>
      <c r="C93" s="105" t="s">
        <v>141</v>
      </c>
      <c r="D93" s="103" t="s">
        <v>128</v>
      </c>
      <c r="E93" s="107">
        <v>0</v>
      </c>
      <c r="F93" t="s">
        <v>338</v>
      </c>
      <c r="I93" s="106"/>
      <c r="J93" s="105" t="s">
        <v>141</v>
      </c>
      <c r="K93" s="103" t="s">
        <v>128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3"/>
        <v>Inclination used: 0.00deg</v>
      </c>
      <c r="U93" s="144">
        <v>35574.199999999997</v>
      </c>
      <c r="V93" s="144">
        <v>-188985</v>
      </c>
      <c r="W93" s="143">
        <v>675098</v>
      </c>
    </row>
    <row r="94" spans="2:23" ht="15.6">
      <c r="B94" s="106">
        <f>B92+1</f>
        <v>32</v>
      </c>
      <c r="C94" s="105" t="s">
        <v>140</v>
      </c>
      <c r="D94" s="103" t="s">
        <v>128</v>
      </c>
      <c r="E94" s="107">
        <v>688.24714543978848</v>
      </c>
      <c r="I94" s="106">
        <f>I92+1</f>
        <v>32</v>
      </c>
      <c r="J94" s="105" t="s">
        <v>140</v>
      </c>
      <c r="K94" s="103" t="s">
        <v>128</v>
      </c>
      <c r="L94" s="107">
        <v>367.16422952629608</v>
      </c>
      <c r="M94" s="107">
        <v>179.72823837335213</v>
      </c>
      <c r="N94" s="107">
        <v>143.98598165084377</v>
      </c>
      <c r="O94" s="107">
        <v>129.56103491512195</v>
      </c>
      <c r="P94" t="str">
        <f t="shared" si="3"/>
        <v/>
      </c>
      <c r="U94" s="144">
        <v>47432.2</v>
      </c>
      <c r="V94" s="144">
        <v>-188985</v>
      </c>
      <c r="W94" s="143">
        <v>306344</v>
      </c>
    </row>
    <row r="95" spans="2:23" ht="15.6">
      <c r="B95" s="106">
        <f>B94+1</f>
        <v>33</v>
      </c>
      <c r="C95" s="103" t="s">
        <v>139</v>
      </c>
      <c r="D95" s="103" t="s">
        <v>128</v>
      </c>
      <c r="E95" s="107">
        <v>3500</v>
      </c>
      <c r="I95" s="106">
        <f>I94+1</f>
        <v>33</v>
      </c>
      <c r="J95" s="103" t="s">
        <v>139</v>
      </c>
      <c r="K95" s="103" t="s">
        <v>128</v>
      </c>
      <c r="L95" s="107">
        <v>1103.1006982045617</v>
      </c>
      <c r="M95" s="107">
        <v>1103.1006982045617</v>
      </c>
      <c r="N95" s="107">
        <v>1103.1006982045617</v>
      </c>
      <c r="O95" s="107">
        <v>1103.1006982045617</v>
      </c>
      <c r="P95" t="str">
        <f t="shared" si="3"/>
        <v/>
      </c>
      <c r="U95" s="144">
        <v>59290.2</v>
      </c>
      <c r="V95" s="144">
        <v>-188985</v>
      </c>
      <c r="W95" s="143">
        <v>139409</v>
      </c>
    </row>
    <row r="96" spans="2:23" ht="15.6">
      <c r="B96" s="106">
        <f>B95+1</f>
        <v>34</v>
      </c>
      <c r="C96" s="103" t="s">
        <v>138</v>
      </c>
      <c r="D96" s="103" t="s">
        <v>128</v>
      </c>
      <c r="E96" s="107">
        <v>2013.5972413350078</v>
      </c>
      <c r="F96" t="s">
        <v>308</v>
      </c>
      <c r="I96" s="106">
        <f>I95+1</f>
        <v>34</v>
      </c>
      <c r="J96" s="103" t="s">
        <v>138</v>
      </c>
      <c r="K96" s="103" t="s">
        <v>128</v>
      </c>
      <c r="L96" s="107">
        <v>717.20546202762773</v>
      </c>
      <c r="M96" s="107">
        <v>717.20546202762773</v>
      </c>
      <c r="N96" s="107">
        <v>717.20546202762773</v>
      </c>
      <c r="O96" s="107">
        <v>717.20546202762773</v>
      </c>
      <c r="P96" t="str">
        <f t="shared" si="3"/>
        <v>(valid in case L-Flange is calculated)</v>
      </c>
      <c r="U96" s="144">
        <v>71148.3</v>
      </c>
      <c r="V96" s="144">
        <v>-188985</v>
      </c>
      <c r="W96" s="143">
        <v>48031.4</v>
      </c>
    </row>
    <row r="97" spans="2:23" ht="15.6">
      <c r="B97" s="106">
        <f>B96+1</f>
        <v>35</v>
      </c>
      <c r="C97" s="103" t="s">
        <v>138</v>
      </c>
      <c r="D97" s="103" t="s">
        <v>128</v>
      </c>
      <c r="E97" s="107">
        <v>2013.5972413350078</v>
      </c>
      <c r="F97" t="s">
        <v>307</v>
      </c>
      <c r="I97" s="106">
        <f>I96+1</f>
        <v>35</v>
      </c>
      <c r="J97" s="103" t="s">
        <v>138</v>
      </c>
      <c r="K97" s="103" t="s">
        <v>128</v>
      </c>
      <c r="L97" s="108">
        <v>717.20546202762773</v>
      </c>
      <c r="M97" s="108">
        <v>717.20546202762773</v>
      </c>
      <c r="N97" s="108">
        <v>717.20546202762773</v>
      </c>
      <c r="O97" s="108">
        <v>717.20546202762773</v>
      </c>
      <c r="P97" t="str">
        <f t="shared" si="3"/>
        <v>(valid in case T-Flange is calculated)</v>
      </c>
      <c r="U97" s="144">
        <v>83006.3</v>
      </c>
      <c r="V97" s="144">
        <v>-188985</v>
      </c>
      <c r="W97" s="143">
        <v>31390.9</v>
      </c>
    </row>
    <row r="98" spans="2:23" ht="15.6">
      <c r="B98" s="106">
        <f>B97+1</f>
        <v>36</v>
      </c>
      <c r="C98" s="105" t="s">
        <v>137</v>
      </c>
      <c r="D98" s="103" t="s">
        <v>123</v>
      </c>
      <c r="E98" s="109">
        <v>1.1608423311327034</v>
      </c>
      <c r="I98" s="106">
        <f>I97+1</f>
        <v>36</v>
      </c>
      <c r="J98" s="105" t="s">
        <v>137</v>
      </c>
      <c r="K98" s="103" t="s">
        <v>123</v>
      </c>
      <c r="L98" s="109">
        <v>1.6140700265708123</v>
      </c>
      <c r="M98" s="109">
        <v>1.1180091772580059</v>
      </c>
      <c r="N98" s="109">
        <v>1.0577935599521713</v>
      </c>
      <c r="O98" s="109">
        <v>1.0353432238786298</v>
      </c>
      <c r="P98" t="str">
        <f t="shared" si="3"/>
        <v/>
      </c>
      <c r="U98" s="144">
        <v>94864.4</v>
      </c>
      <c r="V98" s="144">
        <v>-188985</v>
      </c>
      <c r="W98" s="143">
        <v>21628.400000000001</v>
      </c>
    </row>
    <row r="99" spans="2:23">
      <c r="B99" s="106"/>
      <c r="C99" s="105" t="s">
        <v>273</v>
      </c>
      <c r="D99" s="103" t="s">
        <v>126</v>
      </c>
      <c r="E99" s="107">
        <v>194.0980661142894</v>
      </c>
      <c r="I99" s="106"/>
      <c r="J99" s="105" t="s">
        <v>273</v>
      </c>
      <c r="K99" s="103" t="s">
        <v>126</v>
      </c>
      <c r="L99" s="107">
        <v>99.70193352017607</v>
      </c>
      <c r="M99" s="107">
        <v>99.70193352017607</v>
      </c>
      <c r="N99" s="107">
        <v>99.70193352017607</v>
      </c>
      <c r="O99" s="107">
        <v>99.70193352017607</v>
      </c>
      <c r="P99" t="str">
        <f t="shared" si="3"/>
        <v/>
      </c>
      <c r="U99" s="144">
        <v>106722</v>
      </c>
      <c r="V99" s="144">
        <v>-188985</v>
      </c>
      <c r="W99" s="143">
        <v>10221</v>
      </c>
    </row>
    <row r="100" spans="2:23" ht="15.6">
      <c r="B100" s="106">
        <f>B98+1</f>
        <v>37</v>
      </c>
      <c r="C100" s="103" t="s">
        <v>136</v>
      </c>
      <c r="D100" s="103" t="s">
        <v>135</v>
      </c>
      <c r="E100" s="107">
        <v>16622.506176731484</v>
      </c>
      <c r="I100" s="106">
        <f>I98+1</f>
        <v>37</v>
      </c>
      <c r="J100" s="103" t="s">
        <v>136</v>
      </c>
      <c r="K100" s="103" t="s">
        <v>135</v>
      </c>
      <c r="L100" s="107">
        <v>15422.901708608186</v>
      </c>
      <c r="M100" s="107">
        <v>22638.031158337315</v>
      </c>
      <c r="N100" s="107">
        <v>23942.312805016805</v>
      </c>
      <c r="O100" s="107">
        <v>24462.563155230189</v>
      </c>
      <c r="P100" t="str">
        <f t="shared" si="3"/>
        <v/>
      </c>
      <c r="U100" s="144">
        <v>118580</v>
      </c>
      <c r="V100" s="144">
        <v>-188985</v>
      </c>
      <c r="W100" s="143">
        <v>10218</v>
      </c>
    </row>
    <row r="101" spans="2:23" ht="15.6">
      <c r="B101" s="106">
        <f>B100+1</f>
        <v>38</v>
      </c>
      <c r="C101" s="103" t="s">
        <v>134</v>
      </c>
      <c r="D101" s="103" t="s">
        <v>128</v>
      </c>
      <c r="E101" s="111">
        <v>2013.5972413350078</v>
      </c>
      <c r="I101" s="106">
        <f>I100+1</f>
        <v>38</v>
      </c>
      <c r="J101" s="103" t="s">
        <v>134</v>
      </c>
      <c r="K101" s="103" t="s">
        <v>128</v>
      </c>
      <c r="L101" s="111">
        <v>350.04123250133165</v>
      </c>
      <c r="M101" s="111">
        <v>537.47722365427558</v>
      </c>
      <c r="N101" s="111">
        <v>573.21948037678396</v>
      </c>
      <c r="O101" s="111">
        <v>587.64442711250581</v>
      </c>
      <c r="P101" t="str">
        <f t="shared" si="3"/>
        <v/>
      </c>
      <c r="U101" s="144">
        <v>130438</v>
      </c>
      <c r="V101" s="144">
        <v>-188985</v>
      </c>
      <c r="W101" s="143">
        <v>5177.57</v>
      </c>
    </row>
    <row r="102" spans="2:23">
      <c r="B102" s="106">
        <f>B101+1</f>
        <v>39</v>
      </c>
      <c r="C102" s="103" t="s">
        <v>1</v>
      </c>
      <c r="D102" s="103" t="s">
        <v>126</v>
      </c>
      <c r="E102" s="109">
        <v>0.62410102551253133</v>
      </c>
      <c r="I102" s="106">
        <f>I101+1</f>
        <v>39</v>
      </c>
      <c r="J102" s="103" t="s">
        <v>1</v>
      </c>
      <c r="K102" s="103" t="s">
        <v>126</v>
      </c>
      <c r="L102" s="109">
        <v>0.22764050105793851</v>
      </c>
      <c r="M102" s="109">
        <v>0.23813203928485391</v>
      </c>
      <c r="N102" s="109">
        <v>0.2401326756109608</v>
      </c>
      <c r="O102" s="109">
        <v>0.24094009727618171</v>
      </c>
      <c r="P102" t="str">
        <f t="shared" si="3"/>
        <v/>
      </c>
      <c r="U102" s="144">
        <v>142297</v>
      </c>
      <c r="V102" s="144">
        <v>-188985</v>
      </c>
      <c r="W102" s="143">
        <v>5972.27</v>
      </c>
    </row>
    <row r="103" spans="2:23">
      <c r="B103" s="106">
        <f>B102+1</f>
        <v>40</v>
      </c>
      <c r="C103" s="103" t="s">
        <v>1</v>
      </c>
      <c r="D103" s="103" t="s">
        <v>126</v>
      </c>
      <c r="E103" s="109">
        <f>E102</f>
        <v>0.62410102551253133</v>
      </c>
      <c r="F103" t="s">
        <v>307</v>
      </c>
      <c r="I103" s="106">
        <f>I102+1</f>
        <v>40</v>
      </c>
      <c r="J103" s="103" t="s">
        <v>1</v>
      </c>
      <c r="K103" s="103" t="s">
        <v>126</v>
      </c>
      <c r="L103" s="109">
        <v>0.22764050105793851</v>
      </c>
      <c r="M103" s="109">
        <v>0.23813203928485391</v>
      </c>
      <c r="N103" s="109">
        <v>0.2401326756109608</v>
      </c>
      <c r="O103" s="109">
        <v>0.24094009727618171</v>
      </c>
      <c r="P103" t="str">
        <f t="shared" si="3"/>
        <v>(valid in case T-Flange is calculated)</v>
      </c>
      <c r="U103" s="144">
        <v>154155</v>
      </c>
      <c r="V103" s="144">
        <v>-188985</v>
      </c>
      <c r="W103" s="143">
        <v>851.41</v>
      </c>
    </row>
    <row r="104" spans="2:23" ht="15.6">
      <c r="B104" s="106"/>
      <c r="C104" s="103" t="s">
        <v>133</v>
      </c>
      <c r="D104" s="103" t="s">
        <v>128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133</v>
      </c>
      <c r="K104" s="103" t="s">
        <v>128</v>
      </c>
      <c r="L104" s="110">
        <v>4340</v>
      </c>
      <c r="M104" s="110">
        <v>4340</v>
      </c>
      <c r="N104" s="110">
        <v>4340</v>
      </c>
      <c r="O104" s="110">
        <v>4340</v>
      </c>
      <c r="P104" t="str">
        <f t="shared" si="3"/>
        <v>Note that this includes a macro-geometric SCF=1.00</v>
      </c>
      <c r="U104" s="144">
        <v>166013</v>
      </c>
      <c r="V104" s="144">
        <v>-188985</v>
      </c>
      <c r="W104" s="143">
        <v>162.94999999999999</v>
      </c>
    </row>
    <row r="105" spans="2:23" ht="15.6">
      <c r="B105" s="106">
        <f>B103+1</f>
        <v>41</v>
      </c>
      <c r="C105" s="105" t="s">
        <v>132</v>
      </c>
      <c r="D105" s="103" t="s">
        <v>128</v>
      </c>
      <c r="E105" s="109">
        <v>-123.29166666666667</v>
      </c>
      <c r="F105" t="str">
        <f>F104</f>
        <v>Note that this includes a macro-geometric SCF=1.00</v>
      </c>
      <c r="I105" s="106">
        <f>I103+1</f>
        <v>41</v>
      </c>
      <c r="J105" s="105" t="s">
        <v>132</v>
      </c>
      <c r="K105" s="103" t="s">
        <v>128</v>
      </c>
      <c r="L105" s="107">
        <v>-30.138888888888889</v>
      </c>
      <c r="M105" s="107">
        <v>-30.138888888888889</v>
      </c>
      <c r="N105" s="107">
        <v>-30.138888888888889</v>
      </c>
      <c r="O105" s="107">
        <v>-30.138888888888889</v>
      </c>
      <c r="P105" t="str">
        <f t="shared" si="3"/>
        <v>Note that this includes a macro-geometric SCF=1.00</v>
      </c>
      <c r="U105" s="144">
        <v>177871</v>
      </c>
      <c r="V105" s="144">
        <v>-188985</v>
      </c>
      <c r="W105" s="143">
        <v>11.994999999999999</v>
      </c>
    </row>
    <row r="106" spans="2:23">
      <c r="B106" s="106">
        <f t="shared" ref="B106:B113" si="4">B105+1</f>
        <v>42</v>
      </c>
      <c r="D106" s="103"/>
      <c r="E106" s="104"/>
      <c r="I106" s="106">
        <f t="shared" ref="I106:I113" si="5">I105+1</f>
        <v>42</v>
      </c>
      <c r="K106" s="103"/>
      <c r="L106" s="104"/>
      <c r="M106" s="104"/>
      <c r="N106" s="104"/>
      <c r="O106" s="104"/>
      <c r="P106" t="str">
        <f t="shared" si="3"/>
        <v/>
      </c>
      <c r="U106" s="144">
        <v>189729</v>
      </c>
      <c r="V106" s="144">
        <v>-188985</v>
      </c>
      <c r="W106" s="143">
        <v>151.94</v>
      </c>
    </row>
    <row r="107" spans="2:23" ht="15.6">
      <c r="B107" s="106">
        <f t="shared" si="4"/>
        <v>43</v>
      </c>
      <c r="C107" s="103" t="s">
        <v>131</v>
      </c>
      <c r="D107" s="103" t="s">
        <v>128</v>
      </c>
      <c r="E107" s="107">
        <v>-811.53881210645511</v>
      </c>
      <c r="I107" s="106">
        <f t="shared" si="5"/>
        <v>43</v>
      </c>
      <c r="J107" s="103" t="s">
        <v>131</v>
      </c>
      <c r="K107" s="103" t="s">
        <v>128</v>
      </c>
      <c r="L107" s="107">
        <v>-397.303118415185</v>
      </c>
      <c r="M107" s="107">
        <v>-209.86712726224101</v>
      </c>
      <c r="N107" s="107">
        <v>-174.12487053973265</v>
      </c>
      <c r="O107" s="107">
        <v>-159.69992380401084</v>
      </c>
      <c r="P107" t="str">
        <f t="shared" si="3"/>
        <v/>
      </c>
      <c r="U107" s="144">
        <v>4.3536999999999999E-2</v>
      </c>
      <c r="V107" s="144">
        <v>-173499</v>
      </c>
      <c r="W107" s="143">
        <v>20982400</v>
      </c>
    </row>
    <row r="108" spans="2:23" ht="15.6">
      <c r="B108" s="106">
        <f t="shared" si="4"/>
        <v>44</v>
      </c>
      <c r="C108" s="105" t="s">
        <v>130</v>
      </c>
      <c r="D108" s="103" t="s">
        <v>123</v>
      </c>
      <c r="E108" s="109">
        <v>1.0641834492162766E-2</v>
      </c>
      <c r="I108" s="106">
        <f t="shared" si="5"/>
        <v>44</v>
      </c>
      <c r="J108" s="105" t="s">
        <v>130</v>
      </c>
      <c r="K108" s="103" t="s">
        <v>123</v>
      </c>
      <c r="L108" s="109">
        <v>6.7136936231689967E-2</v>
      </c>
      <c r="M108" s="109">
        <v>1.3441533684499327E-2</v>
      </c>
      <c r="N108" s="109">
        <v>1.9253135360486067E-3</v>
      </c>
      <c r="O108" s="109">
        <v>-2.7909553159588146E-3</v>
      </c>
      <c r="P108" t="str">
        <f t="shared" si="3"/>
        <v/>
      </c>
      <c r="U108" s="144">
        <v>11858.1</v>
      </c>
      <c r="V108" s="144">
        <v>-173499</v>
      </c>
      <c r="W108" s="143">
        <v>2806400</v>
      </c>
    </row>
    <row r="109" spans="2:23" ht="15.6">
      <c r="B109" s="106">
        <f t="shared" si="4"/>
        <v>45</v>
      </c>
      <c r="C109" s="103" t="s">
        <v>129</v>
      </c>
      <c r="D109" s="103" t="s">
        <v>128</v>
      </c>
      <c r="E109" s="108">
        <v>2796.3378938942628</v>
      </c>
      <c r="I109" s="106">
        <f t="shared" si="5"/>
        <v>45</v>
      </c>
      <c r="J109" s="103" t="s">
        <v>129</v>
      </c>
      <c r="K109" s="103" t="s">
        <v>128</v>
      </c>
      <c r="L109" s="108">
        <v>796.67399742767748</v>
      </c>
      <c r="M109" s="108">
        <v>807.79122657473408</v>
      </c>
      <c r="N109" s="108">
        <v>808.86052908007298</v>
      </c>
      <c r="O109" s="108">
        <v>809.17993768937845</v>
      </c>
      <c r="P109" t="str">
        <f t="shared" si="3"/>
        <v/>
      </c>
      <c r="U109" s="144">
        <v>23716.1</v>
      </c>
      <c r="V109" s="144">
        <v>-173499</v>
      </c>
      <c r="W109" s="143">
        <v>1122400</v>
      </c>
    </row>
    <row r="110" spans="2:23" ht="15.6">
      <c r="B110" s="106">
        <f t="shared" si="4"/>
        <v>46</v>
      </c>
      <c r="C110" s="105" t="s">
        <v>127</v>
      </c>
      <c r="D110" s="103" t="s">
        <v>123</v>
      </c>
      <c r="E110" s="109">
        <v>6.9958311802730183E-2</v>
      </c>
      <c r="F110" t="s">
        <v>308</v>
      </c>
      <c r="I110" s="106">
        <f t="shared" si="5"/>
        <v>46</v>
      </c>
      <c r="J110" s="105" t="s">
        <v>127</v>
      </c>
      <c r="K110" s="103" t="s">
        <v>123</v>
      </c>
      <c r="L110" s="113">
        <v>0.13023562713515596</v>
      </c>
      <c r="M110" s="113">
        <v>6.375081763452102E-2</v>
      </c>
      <c r="N110" s="113">
        <v>5.1072798249334042E-2</v>
      </c>
      <c r="O110" s="113">
        <v>4.5956172408789291E-2</v>
      </c>
      <c r="P110" t="str">
        <f t="shared" si="3"/>
        <v>(valid in case L-Flange is calculated)</v>
      </c>
      <c r="U110" s="144">
        <v>35574.199999999997</v>
      </c>
      <c r="V110" s="144">
        <v>-173499</v>
      </c>
      <c r="W110" s="143">
        <v>753289</v>
      </c>
    </row>
    <row r="111" spans="2:23" ht="15.6">
      <c r="B111" s="106">
        <f t="shared" si="4"/>
        <v>47</v>
      </c>
      <c r="C111" s="105" t="s">
        <v>127</v>
      </c>
      <c r="D111" s="103" t="s">
        <v>123</v>
      </c>
      <c r="E111" s="109">
        <f>E110</f>
        <v>6.9958311802730183E-2</v>
      </c>
      <c r="F111" t="s">
        <v>307</v>
      </c>
      <c r="I111" s="106">
        <f t="shared" si="5"/>
        <v>47</v>
      </c>
      <c r="J111" s="105" t="s">
        <v>127</v>
      </c>
      <c r="K111" s="103" t="s">
        <v>123</v>
      </c>
      <c r="L111" s="113">
        <v>0.13023562713515596</v>
      </c>
      <c r="M111" s="113">
        <v>6.375081763452102E-2</v>
      </c>
      <c r="N111" s="113">
        <v>5.1072798249334042E-2</v>
      </c>
      <c r="O111" s="113">
        <v>4.5956172408789291E-2</v>
      </c>
      <c r="P111" t="str">
        <f t="shared" si="3"/>
        <v>(valid in case T-Flange is calculated)</v>
      </c>
      <c r="U111" s="144">
        <v>47432.2</v>
      </c>
      <c r="V111" s="144">
        <v>-173499</v>
      </c>
      <c r="W111" s="143">
        <v>379095</v>
      </c>
    </row>
    <row r="112" spans="2:23" ht="15.6">
      <c r="B112" s="106">
        <f t="shared" si="4"/>
        <v>48</v>
      </c>
      <c r="C112" s="105" t="s">
        <v>125</v>
      </c>
      <c r="D112" s="103" t="s">
        <v>121</v>
      </c>
      <c r="E112" s="128"/>
      <c r="F112" t="s">
        <v>272</v>
      </c>
      <c r="I112" s="106">
        <f t="shared" si="5"/>
        <v>48</v>
      </c>
      <c r="J112" s="105" t="s">
        <v>125</v>
      </c>
      <c r="K112" s="103" t="s">
        <v>121</v>
      </c>
      <c r="L112" s="128"/>
      <c r="M112" s="128"/>
      <c r="N112" s="128"/>
      <c r="O112" s="128"/>
      <c r="P112" t="str">
        <f t="shared" si="3"/>
        <v>Bending moment L-Flange as a function of external force Z</v>
      </c>
      <c r="U112" s="144">
        <v>59290.2</v>
      </c>
      <c r="V112" s="144">
        <v>-173499</v>
      </c>
      <c r="W112" s="143">
        <v>206077</v>
      </c>
    </row>
    <row r="113" spans="2:23">
      <c r="B113" s="106">
        <f t="shared" si="4"/>
        <v>49</v>
      </c>
      <c r="C113" s="105" t="s">
        <v>2</v>
      </c>
      <c r="D113" s="103" t="s">
        <v>126</v>
      </c>
      <c r="E113" s="107">
        <v>90.221560402214294</v>
      </c>
      <c r="I113" s="106">
        <f t="shared" si="5"/>
        <v>49</v>
      </c>
      <c r="J113" s="105" t="s">
        <v>2</v>
      </c>
      <c r="K113" s="103" t="s">
        <v>126</v>
      </c>
      <c r="L113" s="107">
        <v>74.341986610976164</v>
      </c>
      <c r="M113" s="107">
        <v>74.341986610976164</v>
      </c>
      <c r="N113" s="107">
        <v>74.341986610976164</v>
      </c>
      <c r="O113" s="107">
        <v>74.341986610976164</v>
      </c>
      <c r="P113" t="str">
        <f t="shared" si="3"/>
        <v/>
      </c>
      <c r="U113" s="144">
        <v>71148.3</v>
      </c>
      <c r="V113" s="144">
        <v>-173499</v>
      </c>
      <c r="W113" s="143">
        <v>68661.3</v>
      </c>
    </row>
    <row r="114" spans="2:23" ht="15.6">
      <c r="B114" s="106"/>
      <c r="C114" s="105" t="s">
        <v>270</v>
      </c>
      <c r="D114" s="103" t="s">
        <v>269</v>
      </c>
      <c r="E114" s="114">
        <v>1.6641565715404047E-9</v>
      </c>
      <c r="F114" t="s">
        <v>339</v>
      </c>
      <c r="I114" s="106"/>
      <c r="J114" s="105" t="s">
        <v>270</v>
      </c>
      <c r="K114" s="103" t="s">
        <v>269</v>
      </c>
      <c r="L114" s="114">
        <v>6.7808046075429031E-9</v>
      </c>
      <c r="M114" s="114">
        <v>6.7808046075429031E-9</v>
      </c>
      <c r="N114" s="114">
        <v>6.7808046075429031E-9</v>
      </c>
      <c r="O114" s="114">
        <v>6.7808046075429031E-9</v>
      </c>
      <c r="P114" t="str">
        <f t="shared" si="3"/>
        <v>Bending resilience of bolt assembly (VDI2230)</v>
      </c>
      <c r="U114" s="144">
        <v>83006.3</v>
      </c>
      <c r="V114" s="144">
        <v>-173499</v>
      </c>
      <c r="W114" s="143">
        <v>43980.1</v>
      </c>
    </row>
    <row r="115" spans="2:23" ht="15.6">
      <c r="B115" s="106">
        <f>B113+1</f>
        <v>50</v>
      </c>
      <c r="C115" s="105" t="s">
        <v>125</v>
      </c>
      <c r="D115" s="103" t="s">
        <v>121</v>
      </c>
      <c r="E115" s="128"/>
      <c r="F115" t="s">
        <v>268</v>
      </c>
      <c r="I115" s="106">
        <f>I113+1</f>
        <v>50</v>
      </c>
      <c r="J115" s="105" t="s">
        <v>125</v>
      </c>
      <c r="K115" s="103" t="s">
        <v>121</v>
      </c>
      <c r="L115" s="128"/>
      <c r="M115" s="128"/>
      <c r="N115" s="128"/>
      <c r="O115" s="128"/>
      <c r="P115" t="str">
        <f t="shared" si="3"/>
        <v>Bending moment for T-Flange as a function of external force Z</v>
      </c>
      <c r="U115" s="144">
        <v>94864.4</v>
      </c>
      <c r="V115" s="144">
        <v>-173499</v>
      </c>
      <c r="W115" s="143">
        <v>43289.599999999999</v>
      </c>
    </row>
    <row r="116" spans="2:23" ht="15.6">
      <c r="B116" s="106">
        <f>B115+1</f>
        <v>51</v>
      </c>
      <c r="C116" s="105" t="s">
        <v>267</v>
      </c>
      <c r="D116" s="103" t="s">
        <v>123</v>
      </c>
      <c r="E116" s="128"/>
      <c r="F116" t="s">
        <v>266</v>
      </c>
      <c r="I116" s="106">
        <f>I115+1</f>
        <v>51</v>
      </c>
      <c r="J116" s="105" t="s">
        <v>267</v>
      </c>
      <c r="K116" s="103" t="s">
        <v>123</v>
      </c>
      <c r="L116" s="128"/>
      <c r="M116" s="128"/>
      <c r="N116" s="128"/>
      <c r="O116" s="128"/>
      <c r="P116" t="str">
        <f t="shared" si="3"/>
        <v>Intermediate values as function of Z</v>
      </c>
      <c r="U116" s="144">
        <v>106722</v>
      </c>
      <c r="V116" s="144">
        <v>-173499</v>
      </c>
      <c r="W116" s="143">
        <v>16398.3</v>
      </c>
    </row>
    <row r="117" spans="2:23" ht="15.6">
      <c r="B117" s="106">
        <f>B116+1</f>
        <v>52</v>
      </c>
      <c r="C117" s="105" t="s">
        <v>265</v>
      </c>
      <c r="D117" s="103" t="s">
        <v>123</v>
      </c>
      <c r="E117" s="128"/>
      <c r="F117" t="s">
        <v>266</v>
      </c>
      <c r="I117" s="106">
        <f>I116+1</f>
        <v>52</v>
      </c>
      <c r="J117" s="105" t="s">
        <v>265</v>
      </c>
      <c r="K117" s="103" t="s">
        <v>123</v>
      </c>
      <c r="L117" s="128"/>
      <c r="M117" s="128"/>
      <c r="N117" s="128"/>
      <c r="O117" s="128"/>
      <c r="P117" t="str">
        <f t="shared" si="3"/>
        <v>Intermediate values as function of Z</v>
      </c>
      <c r="U117" s="144">
        <v>118580</v>
      </c>
      <c r="V117" s="144">
        <v>-173499</v>
      </c>
      <c r="W117" s="143">
        <v>15422</v>
      </c>
    </row>
    <row r="118" spans="2:23" ht="15.6">
      <c r="B118" s="106">
        <f>B117+1</f>
        <v>53</v>
      </c>
      <c r="C118" s="105" t="s">
        <v>124</v>
      </c>
      <c r="D118" s="103" t="s">
        <v>123</v>
      </c>
      <c r="E118" s="109">
        <v>0.23220745045287472</v>
      </c>
      <c r="F118" t="s">
        <v>308</v>
      </c>
      <c r="I118" s="106">
        <f>I117+1</f>
        <v>53</v>
      </c>
      <c r="J118" s="105" t="s">
        <v>124</v>
      </c>
      <c r="K118" s="103" t="s">
        <v>123</v>
      </c>
      <c r="L118" s="109">
        <v>0.22881533152730013</v>
      </c>
      <c r="M118" s="109">
        <v>0.17800162123193988</v>
      </c>
      <c r="N118" s="109">
        <v>0.16572379276896795</v>
      </c>
      <c r="O118" s="109">
        <v>0.16063505977007558</v>
      </c>
      <c r="P118" t="str">
        <f t="shared" si="3"/>
        <v>(valid in case L-Flange is calculated)</v>
      </c>
      <c r="U118" s="144">
        <v>130438</v>
      </c>
      <c r="V118" s="144">
        <v>-173499</v>
      </c>
      <c r="W118" s="143">
        <v>9336.65</v>
      </c>
    </row>
    <row r="119" spans="2:23" ht="15.6">
      <c r="C119" s="105" t="s">
        <v>124</v>
      </c>
      <c r="D119" s="103" t="s">
        <v>123</v>
      </c>
      <c r="E119" s="114">
        <v>0.15156897254105822</v>
      </c>
      <c r="F119" t="s">
        <v>307</v>
      </c>
      <c r="J119" s="105" t="s">
        <v>124</v>
      </c>
      <c r="K119" s="103" t="s">
        <v>123</v>
      </c>
      <c r="L119" s="114">
        <v>0.15821187587621519</v>
      </c>
      <c r="M119" s="114">
        <v>8.2396184802145889E-2</v>
      </c>
      <c r="N119" s="114">
        <v>6.1809102945987966E-2</v>
      </c>
      <c r="O119" s="114">
        <v>5.2825300178790752E-2</v>
      </c>
      <c r="P119" t="str">
        <f t="shared" si="3"/>
        <v>(valid in case T-Flange is calculated)</v>
      </c>
      <c r="U119" s="144">
        <v>142297</v>
      </c>
      <c r="V119" s="144">
        <v>-173499</v>
      </c>
      <c r="W119" s="143">
        <v>2690.77</v>
      </c>
    </row>
    <row r="120" spans="2:23" ht="15.6">
      <c r="B120" s="106">
        <f>B118+1</f>
        <v>54</v>
      </c>
      <c r="C120" s="105" t="s">
        <v>122</v>
      </c>
      <c r="D120" s="103" t="s">
        <v>121</v>
      </c>
      <c r="E120" s="108">
        <v>-103.42876443037883</v>
      </c>
      <c r="F120" t="s">
        <v>308</v>
      </c>
      <c r="I120" s="106">
        <f>I118+1</f>
        <v>54</v>
      </c>
      <c r="J120" s="105" t="s">
        <v>122</v>
      </c>
      <c r="K120" s="103" t="s">
        <v>121</v>
      </c>
      <c r="L120" s="108">
        <v>-45.210346008284084</v>
      </c>
      <c r="M120" s="108">
        <v>-20.621492726278412</v>
      </c>
      <c r="N120" s="108">
        <v>-16.819796969210302</v>
      </c>
      <c r="O120" s="108">
        <v>-15.400877276825481</v>
      </c>
      <c r="P120" t="str">
        <f t="shared" si="3"/>
        <v>(valid in case L-Flange is calculated)</v>
      </c>
      <c r="U120" s="144">
        <v>154155</v>
      </c>
      <c r="V120" s="144">
        <v>-173499</v>
      </c>
      <c r="W120" s="143">
        <v>482.15</v>
      </c>
    </row>
    <row r="121" spans="2:23" ht="15.6">
      <c r="C121" s="105" t="s">
        <v>122</v>
      </c>
      <c r="D121" s="103" t="s">
        <v>121</v>
      </c>
      <c r="E121" s="109">
        <v>-73.633721293921099</v>
      </c>
      <c r="F121" t="s">
        <v>307</v>
      </c>
      <c r="J121" s="105" t="s">
        <v>122</v>
      </c>
      <c r="K121" s="103" t="s">
        <v>121</v>
      </c>
      <c r="L121" s="108">
        <v>-33.319505980114876</v>
      </c>
      <c r="M121" s="108">
        <v>-10.142393084455744</v>
      </c>
      <c r="N121" s="108">
        <v>-6.7655530926182665</v>
      </c>
      <c r="O121" s="108">
        <v>-5.5527024742467699</v>
      </c>
      <c r="P121" t="str">
        <f t="shared" si="3"/>
        <v>(valid in case T-Flange is calculated)</v>
      </c>
      <c r="U121" s="144">
        <v>166013</v>
      </c>
      <c r="V121" s="144">
        <v>-173499</v>
      </c>
      <c r="W121" s="143">
        <v>44.034999999999997</v>
      </c>
    </row>
    <row r="122" spans="2:23" ht="15.6">
      <c r="C122" s="105" t="s">
        <v>357</v>
      </c>
      <c r="D122" s="103" t="s">
        <v>128</v>
      </c>
      <c r="E122" s="109">
        <v>-123.19166666666668</v>
      </c>
      <c r="J122" s="105" t="s">
        <v>357</v>
      </c>
      <c r="K122" s="103" t="s">
        <v>128</v>
      </c>
      <c r="L122" s="109">
        <v>-30.038888888888888</v>
      </c>
      <c r="M122" s="109">
        <v>-30.038888888888888</v>
      </c>
      <c r="N122" s="109">
        <v>-30.038888888888888</v>
      </c>
      <c r="O122" s="109">
        <v>-30.038888888888888</v>
      </c>
      <c r="U122" s="144">
        <v>189729</v>
      </c>
      <c r="V122" s="144">
        <v>-173499</v>
      </c>
      <c r="W122" s="143">
        <v>1925.58</v>
      </c>
    </row>
    <row r="123" spans="2:23" ht="16.2">
      <c r="C123" s="147" t="s">
        <v>355</v>
      </c>
      <c r="D123" s="103" t="s">
        <v>121</v>
      </c>
      <c r="E123" s="113">
        <v>0</v>
      </c>
      <c r="F123" s="142" t="s">
        <v>356</v>
      </c>
      <c r="J123" s="147" t="s">
        <v>355</v>
      </c>
      <c r="K123" s="103" t="s">
        <v>121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356</v>
      </c>
      <c r="U123" s="144">
        <v>213445</v>
      </c>
      <c r="V123" s="144">
        <v>-173499</v>
      </c>
      <c r="W123" s="143">
        <v>13.61</v>
      </c>
    </row>
    <row r="124" spans="2:23" ht="16.2">
      <c r="C124" s="147" t="s">
        <v>354</v>
      </c>
      <c r="D124" s="103" t="s">
        <v>121</v>
      </c>
      <c r="E124" s="109">
        <v>-88.152265749796342</v>
      </c>
      <c r="F124" s="142" t="s">
        <v>356</v>
      </c>
      <c r="J124" s="147" t="s">
        <v>354</v>
      </c>
      <c r="K124" s="103" t="s">
        <v>121</v>
      </c>
      <c r="L124" s="109">
        <v>-12.975440564878406</v>
      </c>
      <c r="M124" s="109">
        <v>-14.122778963275536</v>
      </c>
      <c r="N124" s="109">
        <v>-14.335292780869318</v>
      </c>
      <c r="O124" s="109">
        <v>-14.420851032204688</v>
      </c>
      <c r="P124" s="142" t="s">
        <v>356</v>
      </c>
      <c r="U124" s="144">
        <v>4.3536999999999999E-2</v>
      </c>
      <c r="V124" s="144">
        <v>-158014</v>
      </c>
      <c r="W124" s="143">
        <v>23907700</v>
      </c>
    </row>
    <row r="125" spans="2:23" ht="16.2">
      <c r="C125" s="147" t="s">
        <v>353</v>
      </c>
      <c r="D125" s="103" t="s">
        <v>121</v>
      </c>
      <c r="E125" s="113">
        <v>-21.475264949608579</v>
      </c>
      <c r="F125" s="142" t="s">
        <v>356</v>
      </c>
      <c r="J125" s="147" t="s">
        <v>353</v>
      </c>
      <c r="K125" s="103" t="s">
        <v>121</v>
      </c>
      <c r="L125" s="113">
        <v>-4.2746352261146034</v>
      </c>
      <c r="M125" s="113">
        <v>-2.7379325128683178</v>
      </c>
      <c r="N125" s="113">
        <v>-2.3157309113001991</v>
      </c>
      <c r="O125" s="113">
        <v>-2.1306521938137162</v>
      </c>
      <c r="P125" s="142" t="s">
        <v>356</v>
      </c>
      <c r="U125" s="144">
        <v>11858.1</v>
      </c>
      <c r="V125" s="144">
        <v>-158014</v>
      </c>
      <c r="W125" s="143">
        <v>3274050</v>
      </c>
    </row>
    <row r="126" spans="2:23" ht="16.2">
      <c r="C126" s="147" t="s">
        <v>355</v>
      </c>
      <c r="D126" s="103" t="s">
        <v>121</v>
      </c>
      <c r="E126" s="113">
        <v>1.1322666980990766E-3</v>
      </c>
      <c r="F126" s="142" t="s">
        <v>352</v>
      </c>
      <c r="J126" s="147" t="s">
        <v>355</v>
      </c>
      <c r="K126" s="103" t="s">
        <v>121</v>
      </c>
      <c r="L126" s="113">
        <v>4.1738389339481133E-3</v>
      </c>
      <c r="M126" s="113">
        <v>8.3564725728215014E-4</v>
      </c>
      <c r="N126" s="113">
        <v>1.19694895952429E-4</v>
      </c>
      <c r="O126" s="113">
        <v>-1.7351101516544632E-4</v>
      </c>
      <c r="P126" s="142" t="s">
        <v>352</v>
      </c>
      <c r="U126" s="144">
        <v>23716.1</v>
      </c>
      <c r="V126" s="144">
        <v>-158014</v>
      </c>
      <c r="W126" s="143">
        <v>1167260</v>
      </c>
    </row>
    <row r="127" spans="2:23" ht="16.2">
      <c r="C127" s="147" t="s">
        <v>354</v>
      </c>
      <c r="D127" s="103" t="s">
        <v>121</v>
      </c>
      <c r="E127" s="109">
        <v>-88.080766784673145</v>
      </c>
      <c r="F127" s="142" t="s">
        <v>352</v>
      </c>
      <c r="J127" s="147" t="s">
        <v>354</v>
      </c>
      <c r="K127" s="103" t="s">
        <v>121</v>
      </c>
      <c r="L127" s="109">
        <v>-12.932388411852086</v>
      </c>
      <c r="M127" s="109">
        <v>-14.07591997316697</v>
      </c>
      <c r="N127" s="109">
        <v>-14.287728675789939</v>
      </c>
      <c r="O127" s="109">
        <v>-14.373003047213039</v>
      </c>
      <c r="P127" s="142" t="s">
        <v>352</v>
      </c>
      <c r="U127" s="144">
        <v>35574.199999999997</v>
      </c>
      <c r="V127" s="144">
        <v>-158014</v>
      </c>
      <c r="W127" s="143">
        <v>810702</v>
      </c>
    </row>
    <row r="128" spans="2:23" ht="16.2">
      <c r="C128" s="147" t="s">
        <v>353</v>
      </c>
      <c r="D128" s="103" t="s">
        <v>121</v>
      </c>
      <c r="E128" s="113">
        <v>-21.460108052354474</v>
      </c>
      <c r="F128" s="142" t="s">
        <v>352</v>
      </c>
      <c r="J128" s="147" t="s">
        <v>353</v>
      </c>
      <c r="K128" s="103" t="s">
        <v>121</v>
      </c>
      <c r="L128" s="113">
        <v>-4.2588140385269817</v>
      </c>
      <c r="M128" s="113">
        <v>-2.7296928943881031</v>
      </c>
      <c r="N128" s="113">
        <v>-2.3095500010056003</v>
      </c>
      <c r="O128" s="113">
        <v>-2.125369663795837</v>
      </c>
      <c r="P128" s="142" t="s">
        <v>352</v>
      </c>
      <c r="U128" s="144">
        <v>47432.2</v>
      </c>
      <c r="V128" s="144">
        <v>-158014</v>
      </c>
      <c r="W128" s="143">
        <v>472201</v>
      </c>
    </row>
    <row r="129" spans="3:23" ht="16.2">
      <c r="C129" s="147" t="s">
        <v>351</v>
      </c>
      <c r="D129" s="103" t="s">
        <v>121</v>
      </c>
      <c r="E129" s="113">
        <v>-23.52070696835775</v>
      </c>
      <c r="J129" s="147" t="s">
        <v>351</v>
      </c>
      <c r="K129" s="103" t="s">
        <v>121</v>
      </c>
      <c r="L129" s="108">
        <v>-3.203943556271498</v>
      </c>
      <c r="M129" s="108">
        <v>-4.6255338204697996</v>
      </c>
      <c r="N129" s="108">
        <v>-4.8888454768398741</v>
      </c>
      <c r="O129" s="108">
        <v>-4.9948549830937488</v>
      </c>
      <c r="U129" s="144">
        <v>59290.2</v>
      </c>
      <c r="V129" s="144">
        <v>-158014</v>
      </c>
      <c r="W129" s="143">
        <v>250113</v>
      </c>
    </row>
    <row r="130" spans="3:23" ht="16.2">
      <c r="C130" s="147" t="s">
        <v>350</v>
      </c>
      <c r="D130" s="103" t="s">
        <v>121</v>
      </c>
      <c r="E130" s="113">
        <v>3018.9967028603874</v>
      </c>
      <c r="J130" s="147" t="s">
        <v>350</v>
      </c>
      <c r="K130" s="103" t="s">
        <v>121</v>
      </c>
      <c r="L130" s="108">
        <v>596.72919709875691</v>
      </c>
      <c r="M130" s="108">
        <v>628.89045146175556</v>
      </c>
      <c r="N130" s="108">
        <v>635.02329608188086</v>
      </c>
      <c r="O130" s="108">
        <v>637.49840440172159</v>
      </c>
      <c r="U130" s="144">
        <v>71148.3</v>
      </c>
      <c r="V130" s="144">
        <v>-158014</v>
      </c>
      <c r="W130" s="143">
        <v>126613</v>
      </c>
    </row>
    <row r="131" spans="3:23" ht="16.2">
      <c r="C131" s="147" t="s">
        <v>349</v>
      </c>
      <c r="D131" s="103" t="s">
        <v>121</v>
      </c>
      <c r="E131" s="113">
        <v>87.714023051826302</v>
      </c>
      <c r="J131" s="147" t="s">
        <v>349</v>
      </c>
      <c r="K131" s="103" t="s">
        <v>121</v>
      </c>
      <c r="L131" s="108">
        <v>27.071008377471777</v>
      </c>
      <c r="M131" s="108">
        <v>14.323101342934034</v>
      </c>
      <c r="N131" s="108">
        <v>12.497102909210016</v>
      </c>
      <c r="O131" s="108">
        <v>11.794028047617013</v>
      </c>
      <c r="U131" s="144">
        <v>83006.3</v>
      </c>
      <c r="V131" s="144">
        <v>-158014</v>
      </c>
      <c r="W131" s="143">
        <v>68552</v>
      </c>
    </row>
    <row r="132" spans="3:23" ht="15.6">
      <c r="C132" s="112" t="s">
        <v>348</v>
      </c>
      <c r="E132" s="135">
        <v>9.620387979206251E-4</v>
      </c>
      <c r="F132" t="s">
        <v>342</v>
      </c>
      <c r="J132" s="112" t="s">
        <v>348</v>
      </c>
      <c r="L132" s="135">
        <v>1.3096071787847329E-3</v>
      </c>
      <c r="M132" s="135">
        <v>1.3090187664806957E-3</v>
      </c>
      <c r="N132" s="135">
        <v>1.3194144670629461E-3</v>
      </c>
      <c r="O132" s="135">
        <v>1.3243524734098794E-3</v>
      </c>
      <c r="P132" t="s">
        <v>342</v>
      </c>
      <c r="U132" s="144">
        <v>94864.4</v>
      </c>
      <c r="V132" s="144">
        <v>-158014</v>
      </c>
      <c r="W132" s="143">
        <v>33146.400000000001</v>
      </c>
    </row>
    <row r="133" spans="3:23" ht="15.6">
      <c r="C133" s="112" t="s">
        <v>347</v>
      </c>
      <c r="E133" s="135">
        <v>0.4693339801658995</v>
      </c>
      <c r="F133" t="s">
        <v>343</v>
      </c>
      <c r="J133" s="112" t="s">
        <v>347</v>
      </c>
      <c r="L133" s="135">
        <v>0.30762458130894782</v>
      </c>
      <c r="M133" s="135">
        <v>0.25677546166687626</v>
      </c>
      <c r="N133" s="135">
        <v>0.24512322336126074</v>
      </c>
      <c r="O133" s="135">
        <v>0.24033164861361092</v>
      </c>
      <c r="P133" t="s">
        <v>343</v>
      </c>
      <c r="U133" s="144">
        <v>106722</v>
      </c>
      <c r="V133" s="144">
        <v>-158014</v>
      </c>
      <c r="W133" s="143">
        <v>24976.7</v>
      </c>
    </row>
    <row r="134" spans="3:23" ht="15.6">
      <c r="C134" s="112" t="s">
        <v>346</v>
      </c>
      <c r="E134" s="135">
        <v>19.72046857199814</v>
      </c>
      <c r="F134" t="s">
        <v>344</v>
      </c>
      <c r="J134" s="112" t="s">
        <v>346</v>
      </c>
      <c r="L134" s="135">
        <v>4.8779344027428806</v>
      </c>
      <c r="M134" s="135">
        <v>1.9243426574143996</v>
      </c>
      <c r="N134" s="135">
        <v>1.3004025235480583</v>
      </c>
      <c r="O134" s="135">
        <v>1.0454948273519165</v>
      </c>
      <c r="P134" t="s">
        <v>344</v>
      </c>
      <c r="U134" s="144">
        <v>118580</v>
      </c>
      <c r="V134" s="144">
        <v>-158014</v>
      </c>
      <c r="W134" s="143">
        <v>14013.3</v>
      </c>
    </row>
    <row r="135" spans="3:23">
      <c r="C135" s="112"/>
      <c r="J135" s="112"/>
      <c r="L135" s="112"/>
      <c r="M135" s="112"/>
      <c r="N135" s="112"/>
      <c r="O135" s="112"/>
      <c r="U135" s="144">
        <v>130438</v>
      </c>
      <c r="V135" s="144">
        <v>-158014</v>
      </c>
      <c r="W135" s="143">
        <v>8775.09</v>
      </c>
    </row>
    <row r="136" spans="3:23">
      <c r="C136" s="103" t="s">
        <v>93</v>
      </c>
      <c r="D136" s="146"/>
      <c r="E136" s="109">
        <v>3.5160490634016508</v>
      </c>
      <c r="F136" t="s">
        <v>345</v>
      </c>
      <c r="J136" s="103" t="s">
        <v>93</v>
      </c>
      <c r="K136" s="146"/>
      <c r="L136" s="109">
        <v>1.6561002853128552</v>
      </c>
      <c r="M136" s="109">
        <v>1.0308793776934759</v>
      </c>
      <c r="N136" s="109">
        <v>0.95151330024544911</v>
      </c>
      <c r="O136" s="109">
        <v>0.92207300837622941</v>
      </c>
      <c r="P136" t="s">
        <v>345</v>
      </c>
      <c r="U136" s="144">
        <v>142297</v>
      </c>
      <c r="V136" s="144">
        <v>-158014</v>
      </c>
      <c r="W136" s="143">
        <v>3933.9</v>
      </c>
    </row>
    <row r="137" spans="3:23">
      <c r="D137" s="145"/>
      <c r="U137" s="144">
        <v>154155</v>
      </c>
      <c r="V137" s="144">
        <v>-158014</v>
      </c>
      <c r="W137" s="143">
        <v>793.35</v>
      </c>
    </row>
    <row r="138" spans="3:23">
      <c r="U138" s="144">
        <v>166013</v>
      </c>
      <c r="V138" s="144">
        <v>-158014</v>
      </c>
      <c r="W138" s="143">
        <v>1981.76</v>
      </c>
    </row>
    <row r="139" spans="3:23">
      <c r="U139" s="144">
        <v>177871</v>
      </c>
      <c r="V139" s="144">
        <v>-158014</v>
      </c>
      <c r="W139" s="143">
        <v>835.87</v>
      </c>
    </row>
    <row r="140" spans="3:23">
      <c r="U140" s="144">
        <v>189729</v>
      </c>
      <c r="V140" s="144">
        <v>-158014</v>
      </c>
      <c r="W140" s="143">
        <v>2.08</v>
      </c>
    </row>
    <row r="141" spans="3:23">
      <c r="U141" s="144">
        <v>213445</v>
      </c>
      <c r="V141" s="144">
        <v>-158014</v>
      </c>
      <c r="W141" s="143">
        <v>150.94499999999999</v>
      </c>
    </row>
    <row r="142" spans="3:23">
      <c r="U142" s="144">
        <v>4.3536999999999999E-2</v>
      </c>
      <c r="V142" s="144">
        <v>-142528</v>
      </c>
      <c r="W142" s="143">
        <v>27374600</v>
      </c>
    </row>
    <row r="143" spans="3:23">
      <c r="U143" s="144">
        <v>11858.1</v>
      </c>
      <c r="V143" s="144">
        <v>-142528</v>
      </c>
      <c r="W143" s="143">
        <v>3553970</v>
      </c>
    </row>
    <row r="144" spans="3:23">
      <c r="U144" s="144">
        <v>23716.1</v>
      </c>
      <c r="V144" s="144">
        <v>-142528</v>
      </c>
      <c r="W144" s="143">
        <v>1430710</v>
      </c>
    </row>
    <row r="145" spans="21:23">
      <c r="U145" s="144">
        <v>35574.199999999997</v>
      </c>
      <c r="V145" s="144">
        <v>-142528</v>
      </c>
      <c r="W145" s="143">
        <v>1031640</v>
      </c>
    </row>
    <row r="146" spans="21:23">
      <c r="U146" s="144">
        <v>47432.2</v>
      </c>
      <c r="V146" s="144">
        <v>-142528</v>
      </c>
      <c r="W146" s="143">
        <v>640823</v>
      </c>
    </row>
    <row r="147" spans="21:23">
      <c r="U147" s="144">
        <v>59290.2</v>
      </c>
      <c r="V147" s="144">
        <v>-142528</v>
      </c>
      <c r="W147" s="143">
        <v>304309</v>
      </c>
    </row>
    <row r="148" spans="21:23">
      <c r="U148" s="144">
        <v>71148.3</v>
      </c>
      <c r="V148" s="144">
        <v>-142528</v>
      </c>
      <c r="W148" s="143">
        <v>169855</v>
      </c>
    </row>
    <row r="149" spans="21:23">
      <c r="U149" s="144">
        <v>83006.3</v>
      </c>
      <c r="V149" s="144">
        <v>-142528</v>
      </c>
      <c r="W149" s="143">
        <v>100895</v>
      </c>
    </row>
    <row r="150" spans="21:23">
      <c r="U150" s="144">
        <v>94864.4</v>
      </c>
      <c r="V150" s="144">
        <v>-142528</v>
      </c>
      <c r="W150" s="143">
        <v>54034.5</v>
      </c>
    </row>
    <row r="151" spans="21:23">
      <c r="U151" s="144">
        <v>106722</v>
      </c>
      <c r="V151" s="144">
        <v>-142528</v>
      </c>
      <c r="W151" s="143">
        <v>33491.1</v>
      </c>
    </row>
    <row r="152" spans="21:23">
      <c r="U152" s="144">
        <v>118580</v>
      </c>
      <c r="V152" s="144">
        <v>-142528</v>
      </c>
      <c r="W152" s="143">
        <v>14613.8</v>
      </c>
    </row>
    <row r="153" spans="21:23">
      <c r="U153" s="144">
        <v>130438</v>
      </c>
      <c r="V153" s="144">
        <v>-142528</v>
      </c>
      <c r="W153" s="143">
        <v>4525.1400000000003</v>
      </c>
    </row>
    <row r="154" spans="21:23">
      <c r="U154" s="144">
        <v>142297</v>
      </c>
      <c r="V154" s="144">
        <v>-142528</v>
      </c>
      <c r="W154" s="143">
        <v>840.99</v>
      </c>
    </row>
    <row r="155" spans="21:23">
      <c r="U155" s="144">
        <v>154155</v>
      </c>
      <c r="V155" s="144">
        <v>-142528</v>
      </c>
      <c r="W155" s="143">
        <v>429.38</v>
      </c>
    </row>
    <row r="156" spans="21:23">
      <c r="U156" s="144">
        <v>166013</v>
      </c>
      <c r="V156" s="144">
        <v>-142528</v>
      </c>
      <c r="W156" s="143">
        <v>185.32</v>
      </c>
    </row>
    <row r="157" spans="21:23">
      <c r="U157" s="144">
        <v>177871</v>
      </c>
      <c r="V157" s="144">
        <v>-142528</v>
      </c>
      <c r="W157" s="143">
        <v>43.56</v>
      </c>
    </row>
    <row r="158" spans="21:23">
      <c r="U158" s="144">
        <v>189729</v>
      </c>
      <c r="V158" s="144">
        <v>-142528</v>
      </c>
      <c r="W158" s="143">
        <v>152.125</v>
      </c>
    </row>
    <row r="159" spans="21:23">
      <c r="U159" s="144">
        <v>201587</v>
      </c>
      <c r="V159" s="144">
        <v>-142528</v>
      </c>
      <c r="W159" s="143">
        <v>6.5000000000000002E-2</v>
      </c>
    </row>
    <row r="160" spans="21:23">
      <c r="U160" s="144">
        <v>213445</v>
      </c>
      <c r="V160" s="144">
        <v>-142528</v>
      </c>
      <c r="W160" s="143">
        <v>1.0049999999999999</v>
      </c>
    </row>
    <row r="161" spans="21:23">
      <c r="U161" s="144">
        <v>4.3536999999999999E-2</v>
      </c>
      <c r="V161" s="144">
        <v>-127042</v>
      </c>
      <c r="W161" s="143">
        <v>32224400</v>
      </c>
    </row>
    <row r="162" spans="21:23">
      <c r="U162" s="144">
        <v>11858.1</v>
      </c>
      <c r="V162" s="144">
        <v>-127042</v>
      </c>
      <c r="W162" s="143">
        <v>4201900</v>
      </c>
    </row>
    <row r="163" spans="21:23">
      <c r="U163" s="144">
        <v>23716.1</v>
      </c>
      <c r="V163" s="144">
        <v>-127042</v>
      </c>
      <c r="W163" s="143">
        <v>1499900</v>
      </c>
    </row>
    <row r="164" spans="21:23">
      <c r="U164" s="144">
        <v>35574.199999999997</v>
      </c>
      <c r="V164" s="144">
        <v>-127042</v>
      </c>
      <c r="W164" s="143">
        <v>1198270</v>
      </c>
    </row>
    <row r="165" spans="21:23">
      <c r="U165" s="144">
        <v>47432.2</v>
      </c>
      <c r="V165" s="144">
        <v>-127042</v>
      </c>
      <c r="W165" s="143">
        <v>752226</v>
      </c>
    </row>
    <row r="166" spans="21:23">
      <c r="U166" s="144">
        <v>59290.2</v>
      </c>
      <c r="V166" s="144">
        <v>-127042</v>
      </c>
      <c r="W166" s="143">
        <v>448102</v>
      </c>
    </row>
    <row r="167" spans="21:23">
      <c r="U167" s="144">
        <v>71148.3</v>
      </c>
      <c r="V167" s="144">
        <v>-127042</v>
      </c>
      <c r="W167" s="143">
        <v>212299</v>
      </c>
    </row>
    <row r="168" spans="21:23">
      <c r="U168" s="144">
        <v>83006.3</v>
      </c>
      <c r="V168" s="144">
        <v>-127042</v>
      </c>
      <c r="W168" s="143">
        <v>136061</v>
      </c>
    </row>
    <row r="169" spans="21:23">
      <c r="U169" s="144">
        <v>94864.4</v>
      </c>
      <c r="V169" s="144">
        <v>-127042</v>
      </c>
      <c r="W169" s="143">
        <v>61716.800000000003</v>
      </c>
    </row>
    <row r="170" spans="21:23">
      <c r="U170" s="144">
        <v>106722</v>
      </c>
      <c r="V170" s="144">
        <v>-127042</v>
      </c>
      <c r="W170" s="143">
        <v>30181.9</v>
      </c>
    </row>
    <row r="171" spans="21:23">
      <c r="U171" s="144">
        <v>118580</v>
      </c>
      <c r="V171" s="144">
        <v>-127042</v>
      </c>
      <c r="W171" s="143">
        <v>17199.2</v>
      </c>
    </row>
    <row r="172" spans="21:23">
      <c r="U172" s="144">
        <v>130438</v>
      </c>
      <c r="V172" s="144">
        <v>-127042</v>
      </c>
      <c r="W172" s="143">
        <v>8122.57</v>
      </c>
    </row>
    <row r="173" spans="21:23">
      <c r="U173" s="144">
        <v>142297</v>
      </c>
      <c r="V173" s="144">
        <v>-127042</v>
      </c>
      <c r="W173" s="143">
        <v>4370.9399999999996</v>
      </c>
    </row>
    <row r="174" spans="21:23">
      <c r="U174" s="144">
        <v>154155</v>
      </c>
      <c r="V174" s="144">
        <v>-127042</v>
      </c>
      <c r="W174" s="143">
        <v>1460.69</v>
      </c>
    </row>
    <row r="175" spans="21:23">
      <c r="U175" s="144">
        <v>166013</v>
      </c>
      <c r="V175" s="144">
        <v>-127042</v>
      </c>
      <c r="W175" s="143">
        <v>904.68499999999995</v>
      </c>
    </row>
    <row r="176" spans="21:23">
      <c r="U176" s="144">
        <v>177871</v>
      </c>
      <c r="V176" s="144">
        <v>-127042</v>
      </c>
      <c r="W176" s="143">
        <v>392.51499999999999</v>
      </c>
    </row>
    <row r="177" spans="21:23">
      <c r="U177" s="144">
        <v>189729</v>
      </c>
      <c r="V177" s="144">
        <v>-127042</v>
      </c>
      <c r="W177" s="143">
        <v>197.785</v>
      </c>
    </row>
    <row r="178" spans="21:23">
      <c r="U178" s="144">
        <v>201587</v>
      </c>
      <c r="V178" s="144">
        <v>-127042</v>
      </c>
      <c r="W178" s="143">
        <v>41.68</v>
      </c>
    </row>
    <row r="179" spans="21:23">
      <c r="U179" s="144">
        <v>213445</v>
      </c>
      <c r="V179" s="144">
        <v>-127042</v>
      </c>
      <c r="W179" s="143">
        <v>27.524999999999999</v>
      </c>
    </row>
    <row r="180" spans="21:23">
      <c r="U180" s="144">
        <v>225303</v>
      </c>
      <c r="V180" s="144">
        <v>-127042</v>
      </c>
      <c r="W180" s="143">
        <v>0.115</v>
      </c>
    </row>
    <row r="181" spans="21:23">
      <c r="U181" s="144">
        <v>237161</v>
      </c>
      <c r="V181" s="144">
        <v>-127042</v>
      </c>
      <c r="W181" s="143">
        <v>0.15</v>
      </c>
    </row>
    <row r="182" spans="21:23">
      <c r="U182" s="144">
        <v>249019</v>
      </c>
      <c r="V182" s="144">
        <v>-127042</v>
      </c>
      <c r="W182" s="143">
        <v>0.26500000000000001</v>
      </c>
    </row>
    <row r="183" spans="21:23">
      <c r="U183" s="144">
        <v>260877</v>
      </c>
      <c r="V183" s="144">
        <v>-127042</v>
      </c>
      <c r="W183" s="143">
        <v>0.12</v>
      </c>
    </row>
    <row r="184" spans="21:23">
      <c r="U184" s="144">
        <v>272735</v>
      </c>
      <c r="V184" s="144">
        <v>-127042</v>
      </c>
      <c r="W184" s="143">
        <v>0.17499999999999999</v>
      </c>
    </row>
    <row r="185" spans="21:23">
      <c r="U185" s="144">
        <v>4.3536999999999999E-2</v>
      </c>
      <c r="V185" s="144">
        <v>-111556</v>
      </c>
      <c r="W185" s="143">
        <v>33377100</v>
      </c>
    </row>
    <row r="186" spans="21:23">
      <c r="U186" s="144">
        <v>11858.1</v>
      </c>
      <c r="V186" s="144">
        <v>-111556</v>
      </c>
      <c r="W186" s="143">
        <v>4118780</v>
      </c>
    </row>
    <row r="187" spans="21:23">
      <c r="U187" s="144">
        <v>23716.1</v>
      </c>
      <c r="V187" s="144">
        <v>-111556</v>
      </c>
      <c r="W187" s="143">
        <v>1603480</v>
      </c>
    </row>
    <row r="188" spans="21:23">
      <c r="U188" s="144">
        <v>35574.199999999997</v>
      </c>
      <c r="V188" s="144">
        <v>-111556</v>
      </c>
      <c r="W188" s="143">
        <v>1247430</v>
      </c>
    </row>
    <row r="189" spans="21:23">
      <c r="U189" s="144">
        <v>47432.2</v>
      </c>
      <c r="V189" s="144">
        <v>-111556</v>
      </c>
      <c r="W189" s="143">
        <v>747232</v>
      </c>
    </row>
    <row r="190" spans="21:23">
      <c r="U190" s="144">
        <v>59290.2</v>
      </c>
      <c r="V190" s="144">
        <v>-111556</v>
      </c>
      <c r="W190" s="143">
        <v>437410</v>
      </c>
    </row>
    <row r="191" spans="21:23">
      <c r="U191" s="144">
        <v>71148.3</v>
      </c>
      <c r="V191" s="144">
        <v>-111556</v>
      </c>
      <c r="W191" s="143">
        <v>259453</v>
      </c>
    </row>
    <row r="192" spans="21:23">
      <c r="U192" s="144">
        <v>83006.3</v>
      </c>
      <c r="V192" s="144">
        <v>-111556</v>
      </c>
      <c r="W192" s="143">
        <v>158286</v>
      </c>
    </row>
    <row r="193" spans="21:23">
      <c r="U193" s="144">
        <v>94864.4</v>
      </c>
      <c r="V193" s="144">
        <v>-111556</v>
      </c>
      <c r="W193" s="143">
        <v>81148.100000000006</v>
      </c>
    </row>
    <row r="194" spans="21:23">
      <c r="U194" s="144">
        <v>106722</v>
      </c>
      <c r="V194" s="144">
        <v>-111556</v>
      </c>
      <c r="W194" s="143">
        <v>40570.699999999997</v>
      </c>
    </row>
    <row r="195" spans="21:23">
      <c r="U195" s="144">
        <v>118580</v>
      </c>
      <c r="V195" s="144">
        <v>-111556</v>
      </c>
      <c r="W195" s="143">
        <v>17838.2</v>
      </c>
    </row>
    <row r="196" spans="21:23">
      <c r="U196" s="144">
        <v>130438</v>
      </c>
      <c r="V196" s="144">
        <v>-111556</v>
      </c>
      <c r="W196" s="143">
        <v>10094.9</v>
      </c>
    </row>
    <row r="197" spans="21:23">
      <c r="U197" s="144">
        <v>142297</v>
      </c>
      <c r="V197" s="144">
        <v>-111556</v>
      </c>
      <c r="W197" s="143">
        <v>3982.2</v>
      </c>
    </row>
    <row r="198" spans="21:23">
      <c r="U198" s="144">
        <v>154155</v>
      </c>
      <c r="V198" s="144">
        <v>-111556</v>
      </c>
      <c r="W198" s="143">
        <v>2461.5</v>
      </c>
    </row>
    <row r="199" spans="21:23">
      <c r="U199" s="144">
        <v>166013</v>
      </c>
      <c r="V199" s="144">
        <v>-111556</v>
      </c>
      <c r="W199" s="143">
        <v>1278.19</v>
      </c>
    </row>
    <row r="200" spans="21:23">
      <c r="U200" s="144">
        <v>177871</v>
      </c>
      <c r="V200" s="144">
        <v>-111556</v>
      </c>
      <c r="W200" s="143">
        <v>396.65499999999997</v>
      </c>
    </row>
    <row r="201" spans="21:23">
      <c r="U201" s="144">
        <v>189729</v>
      </c>
      <c r="V201" s="144">
        <v>-111556</v>
      </c>
      <c r="W201" s="143">
        <v>138.815</v>
      </c>
    </row>
    <row r="202" spans="21:23">
      <c r="U202" s="144">
        <v>201587</v>
      </c>
      <c r="V202" s="144">
        <v>-111556</v>
      </c>
      <c r="W202" s="143">
        <v>178.76</v>
      </c>
    </row>
    <row r="203" spans="21:23">
      <c r="U203" s="144">
        <v>213445</v>
      </c>
      <c r="V203" s="144">
        <v>-111556</v>
      </c>
      <c r="W203" s="143">
        <v>158.93</v>
      </c>
    </row>
    <row r="204" spans="21:23">
      <c r="U204" s="144">
        <v>225303</v>
      </c>
      <c r="V204" s="144">
        <v>-111556</v>
      </c>
      <c r="W204" s="143">
        <v>32.774999999999999</v>
      </c>
    </row>
    <row r="205" spans="21:23">
      <c r="U205" s="144">
        <v>237161</v>
      </c>
      <c r="V205" s="144">
        <v>-111556</v>
      </c>
      <c r="W205" s="143">
        <v>48.5</v>
      </c>
    </row>
    <row r="206" spans="21:23">
      <c r="U206" s="144">
        <v>249019</v>
      </c>
      <c r="V206" s="144">
        <v>-111556</v>
      </c>
      <c r="W206" s="143">
        <v>3.37</v>
      </c>
    </row>
    <row r="207" spans="21:23">
      <c r="U207" s="144">
        <v>260877</v>
      </c>
      <c r="V207" s="144">
        <v>-111556</v>
      </c>
      <c r="W207" s="143">
        <v>2.2200000000000002</v>
      </c>
    </row>
    <row r="208" spans="21:23">
      <c r="U208" s="144">
        <v>284593</v>
      </c>
      <c r="V208" s="144">
        <v>-111556</v>
      </c>
      <c r="W208" s="143">
        <v>0.38500000000000001</v>
      </c>
    </row>
    <row r="209" spans="21:23">
      <c r="U209" s="144">
        <v>296451</v>
      </c>
      <c r="V209" s="144">
        <v>-111556</v>
      </c>
      <c r="W209" s="143">
        <v>0.17499999999999999</v>
      </c>
    </row>
    <row r="210" spans="21:23">
      <c r="U210" s="144">
        <v>4.3536999999999999E-2</v>
      </c>
      <c r="V210" s="144">
        <v>-96070.399999999994</v>
      </c>
      <c r="W210" s="143">
        <v>33760800</v>
      </c>
    </row>
    <row r="211" spans="21:23">
      <c r="U211" s="144">
        <v>11858.1</v>
      </c>
      <c r="V211" s="144">
        <v>-96070.399999999994</v>
      </c>
      <c r="W211" s="143">
        <v>3582790</v>
      </c>
    </row>
    <row r="212" spans="21:23">
      <c r="U212" s="144">
        <v>23716.1</v>
      </c>
      <c r="V212" s="144">
        <v>-96070.399999999994</v>
      </c>
      <c r="W212" s="143">
        <v>1621770</v>
      </c>
    </row>
    <row r="213" spans="21:23">
      <c r="U213" s="144">
        <v>35574.199999999997</v>
      </c>
      <c r="V213" s="144">
        <v>-96070.399999999994</v>
      </c>
      <c r="W213" s="143">
        <v>1202500</v>
      </c>
    </row>
    <row r="214" spans="21:23">
      <c r="U214" s="144">
        <v>47432.2</v>
      </c>
      <c r="V214" s="144">
        <v>-96070.399999999994</v>
      </c>
      <c r="W214" s="143">
        <v>805509</v>
      </c>
    </row>
    <row r="215" spans="21:23">
      <c r="U215" s="144">
        <v>59290.2</v>
      </c>
      <c r="V215" s="144">
        <v>-96070.399999999994</v>
      </c>
      <c r="W215" s="143">
        <v>501565</v>
      </c>
    </row>
    <row r="216" spans="21:23">
      <c r="U216" s="144">
        <v>71148.3</v>
      </c>
      <c r="V216" s="144">
        <v>-96070.399999999994</v>
      </c>
      <c r="W216" s="143">
        <v>277151</v>
      </c>
    </row>
    <row r="217" spans="21:23">
      <c r="U217" s="144">
        <v>83006.3</v>
      </c>
      <c r="V217" s="144">
        <v>-96070.399999999994</v>
      </c>
      <c r="W217" s="143">
        <v>143904</v>
      </c>
    </row>
    <row r="218" spans="21:23">
      <c r="U218" s="144">
        <v>94864.4</v>
      </c>
      <c r="V218" s="144">
        <v>-96070.399999999994</v>
      </c>
      <c r="W218" s="143">
        <v>84737.2</v>
      </c>
    </row>
    <row r="219" spans="21:23">
      <c r="U219" s="144">
        <v>106722</v>
      </c>
      <c r="V219" s="144">
        <v>-96070.399999999994</v>
      </c>
      <c r="W219" s="143">
        <v>42818.400000000001</v>
      </c>
    </row>
    <row r="220" spans="21:23">
      <c r="U220" s="144">
        <v>118580</v>
      </c>
      <c r="V220" s="144">
        <v>-96070.399999999994</v>
      </c>
      <c r="W220" s="143">
        <v>22313.5</v>
      </c>
    </row>
    <row r="221" spans="21:23">
      <c r="U221" s="144">
        <v>130438</v>
      </c>
      <c r="V221" s="144">
        <v>-96070.399999999994</v>
      </c>
      <c r="W221" s="143">
        <v>7594.28</v>
      </c>
    </row>
    <row r="222" spans="21:23">
      <c r="U222" s="144">
        <v>142297</v>
      </c>
      <c r="V222" s="144">
        <v>-96070.399999999994</v>
      </c>
      <c r="W222" s="143">
        <v>2998.57</v>
      </c>
    </row>
    <row r="223" spans="21:23">
      <c r="U223" s="144">
        <v>154155</v>
      </c>
      <c r="V223" s="144">
        <v>-96070.399999999994</v>
      </c>
      <c r="W223" s="143">
        <v>2100.12</v>
      </c>
    </row>
    <row r="224" spans="21:23">
      <c r="U224" s="144">
        <v>166013</v>
      </c>
      <c r="V224" s="144">
        <v>-96070.399999999994</v>
      </c>
      <c r="W224" s="143">
        <v>1203.3599999999999</v>
      </c>
    </row>
    <row r="225" spans="21:23">
      <c r="U225" s="144">
        <v>177871</v>
      </c>
      <c r="V225" s="144">
        <v>-96070.399999999994</v>
      </c>
      <c r="W225" s="143">
        <v>536.48500000000001</v>
      </c>
    </row>
    <row r="226" spans="21:23">
      <c r="U226" s="144">
        <v>189729</v>
      </c>
      <c r="V226" s="144">
        <v>-96070.399999999994</v>
      </c>
      <c r="W226" s="143">
        <v>576.76499999999999</v>
      </c>
    </row>
    <row r="227" spans="21:23">
      <c r="U227" s="144">
        <v>201587</v>
      </c>
      <c r="V227" s="144">
        <v>-96070.399999999994</v>
      </c>
      <c r="W227" s="143">
        <v>337.09500000000003</v>
      </c>
    </row>
    <row r="228" spans="21:23">
      <c r="U228" s="144">
        <v>213445</v>
      </c>
      <c r="V228" s="144">
        <v>-96070.399999999994</v>
      </c>
      <c r="W228" s="143">
        <v>40.625</v>
      </c>
    </row>
    <row r="229" spans="21:23">
      <c r="U229" s="144">
        <v>225303</v>
      </c>
      <c r="V229" s="144">
        <v>-96070.399999999994</v>
      </c>
      <c r="W229" s="143">
        <v>33.369999999999997</v>
      </c>
    </row>
    <row r="230" spans="21:23">
      <c r="U230" s="144">
        <v>237161</v>
      </c>
      <c r="V230" s="144">
        <v>-96070.399999999994</v>
      </c>
      <c r="W230" s="143">
        <v>29.215</v>
      </c>
    </row>
    <row r="231" spans="21:23">
      <c r="U231" s="144">
        <v>249019</v>
      </c>
      <c r="V231" s="144">
        <v>-96070.399999999994</v>
      </c>
      <c r="W231" s="143">
        <v>16.149999999999999</v>
      </c>
    </row>
    <row r="232" spans="21:23">
      <c r="U232" s="144">
        <v>260877</v>
      </c>
      <c r="V232" s="144">
        <v>-96070.399999999994</v>
      </c>
      <c r="W232" s="143">
        <v>1.7649999999999999</v>
      </c>
    </row>
    <row r="233" spans="21:23">
      <c r="U233" s="144">
        <v>272735</v>
      </c>
      <c r="V233" s="144">
        <v>-96070.399999999994</v>
      </c>
      <c r="W233" s="143">
        <v>0.48</v>
      </c>
    </row>
    <row r="234" spans="21:23">
      <c r="U234" s="144">
        <v>284593</v>
      </c>
      <c r="V234" s="144">
        <v>-96070.399999999994</v>
      </c>
      <c r="W234" s="143">
        <v>1.615</v>
      </c>
    </row>
    <row r="235" spans="21:23">
      <c r="U235" s="144">
        <v>379457</v>
      </c>
      <c r="V235" s="144">
        <v>-96070.399999999994</v>
      </c>
      <c r="W235" s="143">
        <v>0.17499999999999999</v>
      </c>
    </row>
    <row r="236" spans="21:23">
      <c r="U236" s="144">
        <v>4.3536999999999999E-2</v>
      </c>
      <c r="V236" s="144">
        <v>-80584.600000000006</v>
      </c>
      <c r="W236" s="143">
        <v>32596100</v>
      </c>
    </row>
    <row r="237" spans="21:23">
      <c r="U237" s="144">
        <v>11858.1</v>
      </c>
      <c r="V237" s="144">
        <v>-80584.600000000006</v>
      </c>
      <c r="W237" s="143">
        <v>2985170</v>
      </c>
    </row>
    <row r="238" spans="21:23">
      <c r="U238" s="144">
        <v>23716.1</v>
      </c>
      <c r="V238" s="144">
        <v>-80584.600000000006</v>
      </c>
      <c r="W238" s="143">
        <v>1631860</v>
      </c>
    </row>
    <row r="239" spans="21:23">
      <c r="U239" s="144">
        <v>35574.199999999997</v>
      </c>
      <c r="V239" s="144">
        <v>-80584.600000000006</v>
      </c>
      <c r="W239" s="143">
        <v>1148880</v>
      </c>
    </row>
    <row r="240" spans="21:23">
      <c r="U240" s="144">
        <v>47432.2</v>
      </c>
      <c r="V240" s="144">
        <v>-80584.600000000006</v>
      </c>
      <c r="W240" s="143">
        <v>711548</v>
      </c>
    </row>
    <row r="241" spans="21:23">
      <c r="U241" s="144">
        <v>59290.2</v>
      </c>
      <c r="V241" s="144">
        <v>-80584.600000000006</v>
      </c>
      <c r="W241" s="143">
        <v>404629</v>
      </c>
    </row>
    <row r="242" spans="21:23">
      <c r="U242" s="144">
        <v>71148.3</v>
      </c>
      <c r="V242" s="144">
        <v>-80584.600000000006</v>
      </c>
      <c r="W242" s="143">
        <v>246713</v>
      </c>
    </row>
    <row r="243" spans="21:23">
      <c r="U243" s="144">
        <v>83006.3</v>
      </c>
      <c r="V243" s="144">
        <v>-80584.600000000006</v>
      </c>
      <c r="W243" s="143">
        <v>162737</v>
      </c>
    </row>
    <row r="244" spans="21:23">
      <c r="U244" s="144">
        <v>94864.4</v>
      </c>
      <c r="V244" s="144">
        <v>-80584.600000000006</v>
      </c>
      <c r="W244" s="143">
        <v>107942</v>
      </c>
    </row>
    <row r="245" spans="21:23">
      <c r="U245" s="144">
        <v>106722</v>
      </c>
      <c r="V245" s="144">
        <v>-80584.600000000006</v>
      </c>
      <c r="W245" s="143">
        <v>55377.2</v>
      </c>
    </row>
    <row r="246" spans="21:23">
      <c r="U246" s="144">
        <v>118580</v>
      </c>
      <c r="V246" s="144">
        <v>-80584.600000000006</v>
      </c>
      <c r="W246" s="143">
        <v>23462.7</v>
      </c>
    </row>
    <row r="247" spans="21:23">
      <c r="U247" s="144">
        <v>130438</v>
      </c>
      <c r="V247" s="144">
        <v>-80584.600000000006</v>
      </c>
      <c r="W247" s="143">
        <v>16403.900000000001</v>
      </c>
    </row>
    <row r="248" spans="21:23">
      <c r="U248" s="144">
        <v>142297</v>
      </c>
      <c r="V248" s="144">
        <v>-80584.600000000006</v>
      </c>
      <c r="W248" s="143">
        <v>7746.07</v>
      </c>
    </row>
    <row r="249" spans="21:23">
      <c r="U249" s="144">
        <v>154155</v>
      </c>
      <c r="V249" s="144">
        <v>-80584.600000000006</v>
      </c>
      <c r="W249" s="143">
        <v>4415.4799999999996</v>
      </c>
    </row>
    <row r="250" spans="21:23">
      <c r="U250" s="144">
        <v>166013</v>
      </c>
      <c r="V250" s="144">
        <v>-80584.600000000006</v>
      </c>
      <c r="W250" s="143">
        <v>2848.83</v>
      </c>
    </row>
    <row r="251" spans="21:23">
      <c r="U251" s="144">
        <v>177871</v>
      </c>
      <c r="V251" s="144">
        <v>-80584.600000000006</v>
      </c>
      <c r="W251" s="143">
        <v>1174.98</v>
      </c>
    </row>
    <row r="252" spans="21:23">
      <c r="U252" s="144">
        <v>189729</v>
      </c>
      <c r="V252" s="144">
        <v>-80584.600000000006</v>
      </c>
      <c r="W252" s="143">
        <v>161.505</v>
      </c>
    </row>
    <row r="253" spans="21:23">
      <c r="U253" s="144">
        <v>201587</v>
      </c>
      <c r="V253" s="144">
        <v>-80584.600000000006</v>
      </c>
      <c r="W253" s="143">
        <v>66.704999999999998</v>
      </c>
    </row>
    <row r="254" spans="21:23">
      <c r="U254" s="144">
        <v>213445</v>
      </c>
      <c r="V254" s="144">
        <v>-80584.600000000006</v>
      </c>
      <c r="W254" s="143">
        <v>61.38</v>
      </c>
    </row>
    <row r="255" spans="21:23">
      <c r="U255" s="144">
        <v>225303</v>
      </c>
      <c r="V255" s="144">
        <v>-80584.600000000006</v>
      </c>
      <c r="W255" s="143">
        <v>45.4</v>
      </c>
    </row>
    <row r="256" spans="21:23">
      <c r="U256" s="144">
        <v>237161</v>
      </c>
      <c r="V256" s="144">
        <v>-80584.600000000006</v>
      </c>
      <c r="W256" s="143">
        <v>25.15</v>
      </c>
    </row>
    <row r="257" spans="21:23">
      <c r="U257" s="144">
        <v>249019</v>
      </c>
      <c r="V257" s="144">
        <v>-80584.600000000006</v>
      </c>
      <c r="W257" s="143">
        <v>3.3849999999999998</v>
      </c>
    </row>
    <row r="258" spans="21:23">
      <c r="U258" s="144">
        <v>260877</v>
      </c>
      <c r="V258" s="144">
        <v>-80584.600000000006</v>
      </c>
      <c r="W258" s="143">
        <v>6.79</v>
      </c>
    </row>
    <row r="259" spans="21:23">
      <c r="U259" s="144">
        <v>272735</v>
      </c>
      <c r="V259" s="144">
        <v>-80584.600000000006</v>
      </c>
      <c r="W259" s="143">
        <v>0.46</v>
      </c>
    </row>
    <row r="260" spans="21:23">
      <c r="U260" s="144">
        <v>284593</v>
      </c>
      <c r="V260" s="144">
        <v>-80584.600000000006</v>
      </c>
      <c r="W260" s="143">
        <v>8.7449999999999992</v>
      </c>
    </row>
    <row r="261" spans="21:23">
      <c r="U261" s="144">
        <v>296451</v>
      </c>
      <c r="V261" s="144">
        <v>-80584.600000000006</v>
      </c>
      <c r="W261" s="143">
        <v>188.88499999999999</v>
      </c>
    </row>
    <row r="262" spans="21:23">
      <c r="U262" s="144">
        <v>308309</v>
      </c>
      <c r="V262" s="144">
        <v>-80584.600000000006</v>
      </c>
      <c r="W262" s="143">
        <v>1.63</v>
      </c>
    </row>
    <row r="263" spans="21:23">
      <c r="U263" s="144">
        <v>320167</v>
      </c>
      <c r="V263" s="144">
        <v>-80584.600000000006</v>
      </c>
      <c r="W263" s="143">
        <v>24.925000000000001</v>
      </c>
    </row>
    <row r="264" spans="21:23">
      <c r="U264" s="144">
        <v>332025</v>
      </c>
      <c r="V264" s="144">
        <v>-80584.600000000006</v>
      </c>
      <c r="W264" s="143">
        <v>47.3</v>
      </c>
    </row>
    <row r="265" spans="21:23">
      <c r="U265" s="144">
        <v>343883</v>
      </c>
      <c r="V265" s="144">
        <v>-80584.600000000006</v>
      </c>
      <c r="W265" s="143">
        <v>5.0000000000000001E-3</v>
      </c>
    </row>
    <row r="266" spans="21:23">
      <c r="U266" s="144">
        <v>415031</v>
      </c>
      <c r="V266" s="144">
        <v>-80584.600000000006</v>
      </c>
      <c r="W266" s="143">
        <v>53.75</v>
      </c>
    </row>
    <row r="267" spans="21:23">
      <c r="U267" s="144">
        <v>4.3536999999999999E-2</v>
      </c>
      <c r="V267" s="144">
        <v>-65098.7</v>
      </c>
      <c r="W267" s="143">
        <v>27951500</v>
      </c>
    </row>
    <row r="268" spans="21:23">
      <c r="U268" s="144">
        <v>11858.1</v>
      </c>
      <c r="V268" s="144">
        <v>-65098.7</v>
      </c>
      <c r="W268" s="143">
        <v>2420130</v>
      </c>
    </row>
    <row r="269" spans="21:23">
      <c r="U269" s="144">
        <v>23716.1</v>
      </c>
      <c r="V269" s="144">
        <v>-65098.7</v>
      </c>
      <c r="W269" s="143">
        <v>1493290</v>
      </c>
    </row>
    <row r="270" spans="21:23">
      <c r="U270" s="144">
        <v>35574.199999999997</v>
      </c>
      <c r="V270" s="144">
        <v>-65098.7</v>
      </c>
      <c r="W270" s="143">
        <v>1008130</v>
      </c>
    </row>
    <row r="271" spans="21:23">
      <c r="U271" s="144">
        <v>47432.2</v>
      </c>
      <c r="V271" s="144">
        <v>-65098.7</v>
      </c>
      <c r="W271" s="143">
        <v>630235</v>
      </c>
    </row>
    <row r="272" spans="21:23">
      <c r="U272" s="144">
        <v>59290.2</v>
      </c>
      <c r="V272" s="144">
        <v>-65098.7</v>
      </c>
      <c r="W272" s="143">
        <v>356572</v>
      </c>
    </row>
    <row r="273" spans="21:23">
      <c r="U273" s="144">
        <v>71148.3</v>
      </c>
      <c r="V273" s="144">
        <v>-65098.7</v>
      </c>
      <c r="W273" s="143">
        <v>203918</v>
      </c>
    </row>
    <row r="274" spans="21:23">
      <c r="U274" s="144">
        <v>83006.3</v>
      </c>
      <c r="V274" s="144">
        <v>-65098.7</v>
      </c>
      <c r="W274" s="143">
        <v>129814</v>
      </c>
    </row>
    <row r="275" spans="21:23">
      <c r="U275" s="144">
        <v>94864.4</v>
      </c>
      <c r="V275" s="144">
        <v>-65098.7</v>
      </c>
      <c r="W275" s="143">
        <v>91256.6</v>
      </c>
    </row>
    <row r="276" spans="21:23">
      <c r="U276" s="144">
        <v>106722</v>
      </c>
      <c r="V276" s="144">
        <v>-65098.7</v>
      </c>
      <c r="W276" s="143">
        <v>68528.5</v>
      </c>
    </row>
    <row r="277" spans="21:23">
      <c r="U277" s="144">
        <v>118580</v>
      </c>
      <c r="V277" s="144">
        <v>-65098.7</v>
      </c>
      <c r="W277" s="143">
        <v>38059.5</v>
      </c>
    </row>
    <row r="278" spans="21:23">
      <c r="U278" s="144">
        <v>130438</v>
      </c>
      <c r="V278" s="144">
        <v>-65098.7</v>
      </c>
      <c r="W278" s="143">
        <v>30215.200000000001</v>
      </c>
    </row>
    <row r="279" spans="21:23">
      <c r="U279" s="144">
        <v>142297</v>
      </c>
      <c r="V279" s="144">
        <v>-65098.7</v>
      </c>
      <c r="W279" s="143">
        <v>15440.8</v>
      </c>
    </row>
    <row r="280" spans="21:23">
      <c r="U280" s="144">
        <v>154155</v>
      </c>
      <c r="V280" s="144">
        <v>-65098.7</v>
      </c>
      <c r="W280" s="143">
        <v>9568.9</v>
      </c>
    </row>
    <row r="281" spans="21:23">
      <c r="U281" s="144">
        <v>166013</v>
      </c>
      <c r="V281" s="144">
        <v>-65098.7</v>
      </c>
      <c r="W281" s="143">
        <v>2984.74</v>
      </c>
    </row>
    <row r="282" spans="21:23">
      <c r="U282" s="144">
        <v>177871</v>
      </c>
      <c r="V282" s="144">
        <v>-65098.7</v>
      </c>
      <c r="W282" s="143">
        <v>3044.53</v>
      </c>
    </row>
    <row r="283" spans="21:23">
      <c r="U283" s="144">
        <v>189729</v>
      </c>
      <c r="V283" s="144">
        <v>-65098.7</v>
      </c>
      <c r="W283" s="143">
        <v>2197.08</v>
      </c>
    </row>
    <row r="284" spans="21:23">
      <c r="U284" s="144">
        <v>201587</v>
      </c>
      <c r="V284" s="144">
        <v>-65098.7</v>
      </c>
      <c r="W284" s="143">
        <v>294.78500000000003</v>
      </c>
    </row>
    <row r="285" spans="21:23">
      <c r="U285" s="144">
        <v>213445</v>
      </c>
      <c r="V285" s="144">
        <v>-65098.7</v>
      </c>
      <c r="W285" s="143">
        <v>158.82</v>
      </c>
    </row>
    <row r="286" spans="21:23">
      <c r="U286" s="144">
        <v>225303</v>
      </c>
      <c r="V286" s="144">
        <v>-65098.7</v>
      </c>
      <c r="W286" s="143">
        <v>17.324999999999999</v>
      </c>
    </row>
    <row r="287" spans="21:23">
      <c r="U287" s="144">
        <v>237161</v>
      </c>
      <c r="V287" s="144">
        <v>-65098.7</v>
      </c>
      <c r="W287" s="143">
        <v>18.085000000000001</v>
      </c>
    </row>
    <row r="288" spans="21:23">
      <c r="U288" s="144">
        <v>249019</v>
      </c>
      <c r="V288" s="144">
        <v>-65098.7</v>
      </c>
      <c r="W288" s="143">
        <v>6.0949999999999998</v>
      </c>
    </row>
    <row r="289" spans="21:23">
      <c r="U289" s="144">
        <v>260877</v>
      </c>
      <c r="V289" s="144">
        <v>-65098.7</v>
      </c>
      <c r="W289" s="143">
        <v>5.2050000000000001</v>
      </c>
    </row>
    <row r="290" spans="21:23">
      <c r="U290" s="144">
        <v>272735</v>
      </c>
      <c r="V290" s="144">
        <v>-65098.7</v>
      </c>
      <c r="W290" s="143">
        <v>189.48</v>
      </c>
    </row>
    <row r="291" spans="21:23">
      <c r="U291" s="144">
        <v>284593</v>
      </c>
      <c r="V291" s="144">
        <v>-65098.7</v>
      </c>
      <c r="W291" s="143">
        <v>5.05</v>
      </c>
    </row>
    <row r="292" spans="21:23">
      <c r="U292" s="144">
        <v>296451</v>
      </c>
      <c r="V292" s="144">
        <v>-65098.7</v>
      </c>
      <c r="W292" s="143">
        <v>26.195</v>
      </c>
    </row>
    <row r="293" spans="21:23">
      <c r="U293" s="144">
        <v>308309</v>
      </c>
      <c r="V293" s="144">
        <v>-65098.7</v>
      </c>
      <c r="W293" s="143">
        <v>0.56499999999999995</v>
      </c>
    </row>
    <row r="294" spans="21:23">
      <c r="U294" s="144">
        <v>320167</v>
      </c>
      <c r="V294" s="144">
        <v>-65098.7</v>
      </c>
      <c r="W294" s="143">
        <v>0.46</v>
      </c>
    </row>
    <row r="295" spans="21:23">
      <c r="U295" s="144">
        <v>332025</v>
      </c>
      <c r="V295" s="144">
        <v>-65098.7</v>
      </c>
      <c r="W295" s="143">
        <v>21.94</v>
      </c>
    </row>
    <row r="296" spans="21:23">
      <c r="U296" s="144">
        <v>343883</v>
      </c>
      <c r="V296" s="144">
        <v>-65098.7</v>
      </c>
      <c r="W296" s="143">
        <v>0.04</v>
      </c>
    </row>
    <row r="297" spans="21:23">
      <c r="U297" s="144">
        <v>355741</v>
      </c>
      <c r="V297" s="144">
        <v>-65098.7</v>
      </c>
      <c r="W297" s="143">
        <v>10.75</v>
      </c>
    </row>
    <row r="298" spans="21:23">
      <c r="U298" s="144">
        <v>4.3536999999999999E-2</v>
      </c>
      <c r="V298" s="144">
        <v>-49612.9</v>
      </c>
      <c r="W298" s="143">
        <v>24635300</v>
      </c>
    </row>
    <row r="299" spans="21:23">
      <c r="U299" s="144">
        <v>11858.1</v>
      </c>
      <c r="V299" s="144">
        <v>-49612.9</v>
      </c>
      <c r="W299" s="143">
        <v>2133050</v>
      </c>
    </row>
    <row r="300" spans="21:23">
      <c r="U300" s="144">
        <v>23716.1</v>
      </c>
      <c r="V300" s="144">
        <v>-49612.9</v>
      </c>
      <c r="W300" s="143">
        <v>1438390</v>
      </c>
    </row>
    <row r="301" spans="21:23">
      <c r="U301" s="144">
        <v>35574.199999999997</v>
      </c>
      <c r="V301" s="144">
        <v>-49612.9</v>
      </c>
      <c r="W301" s="143">
        <v>1024310</v>
      </c>
    </row>
    <row r="302" spans="21:23">
      <c r="U302" s="144">
        <v>47432.2</v>
      </c>
      <c r="V302" s="144">
        <v>-49612.9</v>
      </c>
      <c r="W302" s="143">
        <v>646092</v>
      </c>
    </row>
    <row r="303" spans="21:23">
      <c r="U303" s="144">
        <v>59290.2</v>
      </c>
      <c r="V303" s="144">
        <v>-49612.9</v>
      </c>
      <c r="W303" s="143">
        <v>417216</v>
      </c>
    </row>
    <row r="304" spans="21:23">
      <c r="U304" s="144">
        <v>71148.3</v>
      </c>
      <c r="V304" s="144">
        <v>-49612.9</v>
      </c>
      <c r="W304" s="143">
        <v>246359</v>
      </c>
    </row>
    <row r="305" spans="21:23">
      <c r="U305" s="144">
        <v>83006.3</v>
      </c>
      <c r="V305" s="144">
        <v>-49612.9</v>
      </c>
      <c r="W305" s="143">
        <v>183037</v>
      </c>
    </row>
    <row r="306" spans="21:23">
      <c r="U306" s="144">
        <v>94864.4</v>
      </c>
      <c r="V306" s="144">
        <v>-49612.9</v>
      </c>
      <c r="W306" s="143">
        <v>118471</v>
      </c>
    </row>
    <row r="307" spans="21:23">
      <c r="U307" s="144">
        <v>106722</v>
      </c>
      <c r="V307" s="144">
        <v>-49612.9</v>
      </c>
      <c r="W307" s="143">
        <v>76482</v>
      </c>
    </row>
    <row r="308" spans="21:23">
      <c r="U308" s="144">
        <v>118580</v>
      </c>
      <c r="V308" s="144">
        <v>-49612.9</v>
      </c>
      <c r="W308" s="143">
        <v>59625.4</v>
      </c>
    </row>
    <row r="309" spans="21:23">
      <c r="U309" s="144">
        <v>130438</v>
      </c>
      <c r="V309" s="144">
        <v>-49612.9</v>
      </c>
      <c r="W309" s="143">
        <v>36165.1</v>
      </c>
    </row>
    <row r="310" spans="21:23">
      <c r="U310" s="144">
        <v>142297</v>
      </c>
      <c r="V310" s="144">
        <v>-49612.9</v>
      </c>
      <c r="W310" s="143">
        <v>25644.6</v>
      </c>
    </row>
    <row r="311" spans="21:23">
      <c r="U311" s="144">
        <v>154155</v>
      </c>
      <c r="V311" s="144">
        <v>-49612.9</v>
      </c>
      <c r="W311" s="143">
        <v>17424.7</v>
      </c>
    </row>
    <row r="312" spans="21:23">
      <c r="U312" s="144">
        <v>166013</v>
      </c>
      <c r="V312" s="144">
        <v>-49612.9</v>
      </c>
      <c r="W312" s="143">
        <v>9104.9</v>
      </c>
    </row>
    <row r="313" spans="21:23">
      <c r="U313" s="144">
        <v>177871</v>
      </c>
      <c r="V313" s="144">
        <v>-49612.9</v>
      </c>
      <c r="W313" s="143">
        <v>2937.93</v>
      </c>
    </row>
    <row r="314" spans="21:23">
      <c r="U314" s="144">
        <v>189729</v>
      </c>
      <c r="V314" s="144">
        <v>-49612.9</v>
      </c>
      <c r="W314" s="143">
        <v>1061.42</v>
      </c>
    </row>
    <row r="315" spans="21:23">
      <c r="U315" s="144">
        <v>201587</v>
      </c>
      <c r="V315" s="144">
        <v>-49612.9</v>
      </c>
      <c r="W315" s="143">
        <v>3593.68</v>
      </c>
    </row>
    <row r="316" spans="21:23">
      <c r="U316" s="144">
        <v>213445</v>
      </c>
      <c r="V316" s="144">
        <v>-49612.9</v>
      </c>
      <c r="W316" s="143">
        <v>976.125</v>
      </c>
    </row>
    <row r="317" spans="21:23">
      <c r="U317" s="144">
        <v>225303</v>
      </c>
      <c r="V317" s="144">
        <v>-49612.9</v>
      </c>
      <c r="W317" s="143">
        <v>203.505</v>
      </c>
    </row>
    <row r="318" spans="21:23">
      <c r="U318" s="144">
        <v>237161</v>
      </c>
      <c r="V318" s="144">
        <v>-49612.9</v>
      </c>
      <c r="W318" s="143">
        <v>11.01</v>
      </c>
    </row>
    <row r="319" spans="21:23">
      <c r="U319" s="144">
        <v>249019</v>
      </c>
      <c r="V319" s="144">
        <v>-49612.9</v>
      </c>
      <c r="W319" s="143">
        <v>4</v>
      </c>
    </row>
    <row r="320" spans="21:23">
      <c r="U320" s="144">
        <v>260877</v>
      </c>
      <c r="V320" s="144">
        <v>-49612.9</v>
      </c>
      <c r="W320" s="143">
        <v>194.51499999999999</v>
      </c>
    </row>
    <row r="321" spans="21:23">
      <c r="U321" s="144">
        <v>272735</v>
      </c>
      <c r="V321" s="144">
        <v>-49612.9</v>
      </c>
      <c r="W321" s="143">
        <v>14.88</v>
      </c>
    </row>
    <row r="322" spans="21:23">
      <c r="U322" s="144">
        <v>284593</v>
      </c>
      <c r="V322" s="144">
        <v>-49612.9</v>
      </c>
      <c r="W322" s="143">
        <v>0.86499999999999999</v>
      </c>
    </row>
    <row r="323" spans="21:23">
      <c r="U323" s="144">
        <v>296451</v>
      </c>
      <c r="V323" s="144">
        <v>-49612.9</v>
      </c>
      <c r="W323" s="143">
        <v>2.68</v>
      </c>
    </row>
    <row r="324" spans="21:23">
      <c r="U324" s="144">
        <v>308309</v>
      </c>
      <c r="V324" s="144">
        <v>-49612.9</v>
      </c>
      <c r="W324" s="143">
        <v>5.5E-2</v>
      </c>
    </row>
    <row r="325" spans="21:23">
      <c r="U325" s="144">
        <v>320167</v>
      </c>
      <c r="V325" s="144">
        <v>-49612.9</v>
      </c>
      <c r="W325" s="143">
        <v>0.125</v>
      </c>
    </row>
    <row r="326" spans="21:23">
      <c r="U326" s="144">
        <v>332025</v>
      </c>
      <c r="V326" s="144">
        <v>-49612.9</v>
      </c>
      <c r="W326" s="143">
        <v>0.01</v>
      </c>
    </row>
    <row r="327" spans="21:23">
      <c r="U327" s="144">
        <v>343883</v>
      </c>
      <c r="V327" s="144">
        <v>-49612.9</v>
      </c>
      <c r="W327" s="143">
        <v>0.01</v>
      </c>
    </row>
    <row r="328" spans="21:23">
      <c r="U328" s="144">
        <v>355741</v>
      </c>
      <c r="V328" s="144">
        <v>-49612.9</v>
      </c>
      <c r="W328" s="143">
        <v>2.5000000000000001E-2</v>
      </c>
    </row>
    <row r="329" spans="21:23">
      <c r="U329" s="144">
        <v>379457</v>
      </c>
      <c r="V329" s="144">
        <v>-49612.9</v>
      </c>
      <c r="W329" s="143">
        <v>22.47</v>
      </c>
    </row>
    <row r="330" spans="21:23">
      <c r="U330" s="144">
        <v>426889</v>
      </c>
      <c r="V330" s="144">
        <v>-49612.9</v>
      </c>
      <c r="W330" s="143">
        <v>5.0000000000000001E-3</v>
      </c>
    </row>
    <row r="331" spans="21:23">
      <c r="U331" s="144">
        <v>474322</v>
      </c>
      <c r="V331" s="144">
        <v>-49612.9</v>
      </c>
      <c r="W331" s="143">
        <v>0.105</v>
      </c>
    </row>
    <row r="332" spans="21:23">
      <c r="U332" s="144">
        <v>4.3536999999999999E-2</v>
      </c>
      <c r="V332" s="144">
        <v>-34127.1</v>
      </c>
      <c r="W332" s="143">
        <v>25512300</v>
      </c>
    </row>
    <row r="333" spans="21:23">
      <c r="U333" s="144">
        <v>11858.1</v>
      </c>
      <c r="V333" s="144">
        <v>-34127.1</v>
      </c>
      <c r="W333" s="143">
        <v>3183170</v>
      </c>
    </row>
    <row r="334" spans="21:23">
      <c r="U334" s="144">
        <v>23716.1</v>
      </c>
      <c r="V334" s="144">
        <v>-34127.1</v>
      </c>
      <c r="W334" s="143">
        <v>2630350</v>
      </c>
    </row>
    <row r="335" spans="21:23">
      <c r="U335" s="144">
        <v>35574.199999999997</v>
      </c>
      <c r="V335" s="144">
        <v>-34127.1</v>
      </c>
      <c r="W335" s="143">
        <v>1666090</v>
      </c>
    </row>
    <row r="336" spans="21:23">
      <c r="U336" s="144">
        <v>47432.2</v>
      </c>
      <c r="V336" s="144">
        <v>-34127.1</v>
      </c>
      <c r="W336" s="143">
        <v>914134</v>
      </c>
    </row>
    <row r="337" spans="21:23">
      <c r="U337" s="144">
        <v>59290.2</v>
      </c>
      <c r="V337" s="144">
        <v>-34127.1</v>
      </c>
      <c r="W337" s="143">
        <v>532151</v>
      </c>
    </row>
    <row r="338" spans="21:23">
      <c r="U338" s="144">
        <v>71148.3</v>
      </c>
      <c r="V338" s="144">
        <v>-34127.1</v>
      </c>
      <c r="W338" s="143">
        <v>348209</v>
      </c>
    </row>
    <row r="339" spans="21:23">
      <c r="U339" s="144">
        <v>83006.3</v>
      </c>
      <c r="V339" s="144">
        <v>-34127.1</v>
      </c>
      <c r="W339" s="143">
        <v>218540</v>
      </c>
    </row>
    <row r="340" spans="21:23">
      <c r="U340" s="144">
        <v>94864.4</v>
      </c>
      <c r="V340" s="144">
        <v>-34127.1</v>
      </c>
      <c r="W340" s="143">
        <v>148464</v>
      </c>
    </row>
    <row r="341" spans="21:23">
      <c r="U341" s="144">
        <v>106722</v>
      </c>
      <c r="V341" s="144">
        <v>-34127.1</v>
      </c>
      <c r="W341" s="143">
        <v>107311</v>
      </c>
    </row>
    <row r="342" spans="21:23">
      <c r="U342" s="144">
        <v>118580</v>
      </c>
      <c r="V342" s="144">
        <v>-34127.1</v>
      </c>
      <c r="W342" s="143">
        <v>75854</v>
      </c>
    </row>
    <row r="343" spans="21:23">
      <c r="U343" s="144">
        <v>130438</v>
      </c>
      <c r="V343" s="144">
        <v>-34127.1</v>
      </c>
      <c r="W343" s="143">
        <v>59749.2</v>
      </c>
    </row>
    <row r="344" spans="21:23">
      <c r="U344" s="144">
        <v>142297</v>
      </c>
      <c r="V344" s="144">
        <v>-34127.1</v>
      </c>
      <c r="W344" s="143">
        <v>41502.9</v>
      </c>
    </row>
    <row r="345" spans="21:23">
      <c r="U345" s="144">
        <v>154155</v>
      </c>
      <c r="V345" s="144">
        <v>-34127.1</v>
      </c>
      <c r="W345" s="143">
        <v>30256.6</v>
      </c>
    </row>
    <row r="346" spans="21:23">
      <c r="U346" s="144">
        <v>166013</v>
      </c>
      <c r="V346" s="144">
        <v>-34127.1</v>
      </c>
      <c r="W346" s="143">
        <v>18638</v>
      </c>
    </row>
    <row r="347" spans="21:23">
      <c r="U347" s="144">
        <v>177871</v>
      </c>
      <c r="V347" s="144">
        <v>-34127.1</v>
      </c>
      <c r="W347" s="143">
        <v>14668.8</v>
      </c>
    </row>
    <row r="348" spans="21:23">
      <c r="U348" s="144">
        <v>189729</v>
      </c>
      <c r="V348" s="144">
        <v>-34127.1</v>
      </c>
      <c r="W348" s="143">
        <v>8471.7800000000007</v>
      </c>
    </row>
    <row r="349" spans="21:23">
      <c r="U349" s="144">
        <v>201587</v>
      </c>
      <c r="V349" s="144">
        <v>-34127.1</v>
      </c>
      <c r="W349" s="143">
        <v>4191.8500000000004</v>
      </c>
    </row>
    <row r="350" spans="21:23">
      <c r="U350" s="144">
        <v>213445</v>
      </c>
      <c r="V350" s="144">
        <v>-34127.1</v>
      </c>
      <c r="W350" s="143">
        <v>2909.54</v>
      </c>
    </row>
    <row r="351" spans="21:23">
      <c r="U351" s="144">
        <v>225303</v>
      </c>
      <c r="V351" s="144">
        <v>-34127.1</v>
      </c>
      <c r="W351" s="143">
        <v>1731.68</v>
      </c>
    </row>
    <row r="352" spans="21:23">
      <c r="U352" s="144">
        <v>237161</v>
      </c>
      <c r="V352" s="144">
        <v>-34127.1</v>
      </c>
      <c r="W352" s="143">
        <v>493.255</v>
      </c>
    </row>
    <row r="353" spans="21:23">
      <c r="U353" s="144">
        <v>249019</v>
      </c>
      <c r="V353" s="144">
        <v>-34127.1</v>
      </c>
      <c r="W353" s="143">
        <v>617.28499999999997</v>
      </c>
    </row>
    <row r="354" spans="21:23">
      <c r="U354" s="144">
        <v>260877</v>
      </c>
      <c r="V354" s="144">
        <v>-34127.1</v>
      </c>
      <c r="W354" s="143">
        <v>396.92500000000001</v>
      </c>
    </row>
    <row r="355" spans="21:23">
      <c r="U355" s="144">
        <v>272735</v>
      </c>
      <c r="V355" s="144">
        <v>-34127.1</v>
      </c>
      <c r="W355" s="143">
        <v>503.32499999999999</v>
      </c>
    </row>
    <row r="356" spans="21:23">
      <c r="U356" s="144">
        <v>284593</v>
      </c>
      <c r="V356" s="144">
        <v>-34127.1</v>
      </c>
      <c r="W356" s="143">
        <v>248.14</v>
      </c>
    </row>
    <row r="357" spans="21:23">
      <c r="U357" s="144">
        <v>296451</v>
      </c>
      <c r="V357" s="144">
        <v>-34127.1</v>
      </c>
      <c r="W357" s="143">
        <v>143.01499999999999</v>
      </c>
    </row>
    <row r="358" spans="21:23">
      <c r="U358" s="144">
        <v>308309</v>
      </c>
      <c r="V358" s="144">
        <v>-34127.1</v>
      </c>
      <c r="W358" s="143">
        <v>348.505</v>
      </c>
    </row>
    <row r="359" spans="21:23">
      <c r="U359" s="144">
        <v>320167</v>
      </c>
      <c r="V359" s="144">
        <v>-34127.1</v>
      </c>
      <c r="W359" s="143">
        <v>111.24</v>
      </c>
    </row>
    <row r="360" spans="21:23">
      <c r="U360" s="144">
        <v>332025</v>
      </c>
      <c r="V360" s="144">
        <v>-34127.1</v>
      </c>
      <c r="W360" s="143">
        <v>132.41999999999999</v>
      </c>
    </row>
    <row r="361" spans="21:23">
      <c r="U361" s="144">
        <v>343883</v>
      </c>
      <c r="V361" s="144">
        <v>-34127.1</v>
      </c>
      <c r="W361" s="143">
        <v>60.645000000000003</v>
      </c>
    </row>
    <row r="362" spans="21:23">
      <c r="U362" s="144">
        <v>355741</v>
      </c>
      <c r="V362" s="144">
        <v>-34127.1</v>
      </c>
      <c r="W362" s="143">
        <v>44.18</v>
      </c>
    </row>
    <row r="363" spans="21:23">
      <c r="U363" s="144">
        <v>367599</v>
      </c>
      <c r="V363" s="144">
        <v>-34127.1</v>
      </c>
      <c r="W363" s="143">
        <v>50.87</v>
      </c>
    </row>
    <row r="364" spans="21:23">
      <c r="U364" s="144">
        <v>379457</v>
      </c>
      <c r="V364" s="144">
        <v>-34127.1</v>
      </c>
      <c r="W364" s="143">
        <v>13.42</v>
      </c>
    </row>
    <row r="365" spans="21:23">
      <c r="U365" s="144">
        <v>391315</v>
      </c>
      <c r="V365" s="144">
        <v>-34127.1</v>
      </c>
      <c r="W365" s="143">
        <v>6.86</v>
      </c>
    </row>
    <row r="366" spans="21:23">
      <c r="U366" s="144">
        <v>403173</v>
      </c>
      <c r="V366" s="144">
        <v>-34127.1</v>
      </c>
      <c r="W366" s="143">
        <v>13.25</v>
      </c>
    </row>
    <row r="367" spans="21:23">
      <c r="U367" s="144">
        <v>415031</v>
      </c>
      <c r="V367" s="144">
        <v>-34127.1</v>
      </c>
      <c r="W367" s="143">
        <v>5.9850000000000003</v>
      </c>
    </row>
    <row r="368" spans="21:23">
      <c r="U368" s="144">
        <v>426889</v>
      </c>
      <c r="V368" s="144">
        <v>-34127.1</v>
      </c>
      <c r="W368" s="143">
        <v>23.535</v>
      </c>
    </row>
    <row r="369" spans="21:23">
      <c r="U369" s="144">
        <v>438747</v>
      </c>
      <c r="V369" s="144">
        <v>-34127.1</v>
      </c>
      <c r="W369" s="143">
        <v>1.07</v>
      </c>
    </row>
    <row r="370" spans="21:23">
      <c r="U370" s="144">
        <v>450606</v>
      </c>
      <c r="V370" s="144">
        <v>-34127.1</v>
      </c>
      <c r="W370" s="143">
        <v>24.504999999999999</v>
      </c>
    </row>
    <row r="371" spans="21:23">
      <c r="U371" s="144">
        <v>462464</v>
      </c>
      <c r="V371" s="144">
        <v>-34127.1</v>
      </c>
      <c r="W371" s="143">
        <v>11.91</v>
      </c>
    </row>
    <row r="372" spans="21:23">
      <c r="U372" s="144">
        <v>474322</v>
      </c>
      <c r="V372" s="144">
        <v>-34127.1</v>
      </c>
      <c r="W372" s="143">
        <v>25.434999999999999</v>
      </c>
    </row>
    <row r="373" spans="21:23">
      <c r="U373" s="144">
        <v>486180</v>
      </c>
      <c r="V373" s="144">
        <v>-34127.1</v>
      </c>
      <c r="W373" s="143">
        <v>11.43</v>
      </c>
    </row>
    <row r="374" spans="21:23">
      <c r="U374" s="144">
        <v>498038</v>
      </c>
      <c r="V374" s="144">
        <v>-34127.1</v>
      </c>
      <c r="W374" s="143">
        <v>0.38500000000000001</v>
      </c>
    </row>
    <row r="375" spans="21:23">
      <c r="U375" s="144">
        <v>509896</v>
      </c>
      <c r="V375" s="144">
        <v>-34127.1</v>
      </c>
      <c r="W375" s="143">
        <v>0.38500000000000001</v>
      </c>
    </row>
    <row r="376" spans="21:23">
      <c r="U376" s="144">
        <v>4.3536999999999999E-2</v>
      </c>
      <c r="V376" s="144">
        <v>-18641.3</v>
      </c>
      <c r="W376" s="143">
        <v>30036400</v>
      </c>
    </row>
    <row r="377" spans="21:23">
      <c r="U377" s="144">
        <v>11858.1</v>
      </c>
      <c r="V377" s="144">
        <v>-18641.3</v>
      </c>
      <c r="W377" s="143">
        <v>3766660</v>
      </c>
    </row>
    <row r="378" spans="21:23">
      <c r="U378" s="144">
        <v>23716.1</v>
      </c>
      <c r="V378" s="144">
        <v>-18641.3</v>
      </c>
      <c r="W378" s="143">
        <v>2818790</v>
      </c>
    </row>
    <row r="379" spans="21:23">
      <c r="U379" s="144">
        <v>35574.199999999997</v>
      </c>
      <c r="V379" s="144">
        <v>-18641.3</v>
      </c>
      <c r="W379" s="143">
        <v>1775890</v>
      </c>
    </row>
    <row r="380" spans="21:23">
      <c r="U380" s="144">
        <v>47432.2</v>
      </c>
      <c r="V380" s="144">
        <v>-18641.3</v>
      </c>
      <c r="W380" s="143">
        <v>967437</v>
      </c>
    </row>
    <row r="381" spans="21:23">
      <c r="U381" s="144">
        <v>59290.2</v>
      </c>
      <c r="V381" s="144">
        <v>-18641.3</v>
      </c>
      <c r="W381" s="143">
        <v>536619</v>
      </c>
    </row>
    <row r="382" spans="21:23">
      <c r="U382" s="144">
        <v>71148.3</v>
      </c>
      <c r="V382" s="144">
        <v>-18641.3</v>
      </c>
      <c r="W382" s="143">
        <v>282745</v>
      </c>
    </row>
    <row r="383" spans="21:23">
      <c r="U383" s="144">
        <v>83006.3</v>
      </c>
      <c r="V383" s="144">
        <v>-18641.3</v>
      </c>
      <c r="W383" s="143">
        <v>162281</v>
      </c>
    </row>
    <row r="384" spans="21:23">
      <c r="U384" s="144">
        <v>94864.4</v>
      </c>
      <c r="V384" s="144">
        <v>-18641.3</v>
      </c>
      <c r="W384" s="143">
        <v>106328</v>
      </c>
    </row>
    <row r="385" spans="21:23">
      <c r="U385" s="144">
        <v>106722</v>
      </c>
      <c r="V385" s="144">
        <v>-18641.3</v>
      </c>
      <c r="W385" s="143">
        <v>71910.8</v>
      </c>
    </row>
    <row r="386" spans="21:23">
      <c r="U386" s="144">
        <v>118580</v>
      </c>
      <c r="V386" s="144">
        <v>-18641.3</v>
      </c>
      <c r="W386" s="143">
        <v>45517.5</v>
      </c>
    </row>
    <row r="387" spans="21:23">
      <c r="U387" s="144">
        <v>130438</v>
      </c>
      <c r="V387" s="144">
        <v>-18641.3</v>
      </c>
      <c r="W387" s="143">
        <v>36003.9</v>
      </c>
    </row>
    <row r="388" spans="21:23">
      <c r="U388" s="144">
        <v>142297</v>
      </c>
      <c r="V388" s="144">
        <v>-18641.3</v>
      </c>
      <c r="W388" s="143">
        <v>25583.8</v>
      </c>
    </row>
    <row r="389" spans="21:23">
      <c r="U389" s="144">
        <v>154155</v>
      </c>
      <c r="V389" s="144">
        <v>-18641.3</v>
      </c>
      <c r="W389" s="143">
        <v>17224.599999999999</v>
      </c>
    </row>
    <row r="390" spans="21:23">
      <c r="U390" s="144">
        <v>166013</v>
      </c>
      <c r="V390" s="144">
        <v>-18641.3</v>
      </c>
      <c r="W390" s="143">
        <v>14136.3</v>
      </c>
    </row>
    <row r="391" spans="21:23">
      <c r="U391" s="144">
        <v>177871</v>
      </c>
      <c r="V391" s="144">
        <v>-18641.3</v>
      </c>
      <c r="W391" s="143">
        <v>11223</v>
      </c>
    </row>
    <row r="392" spans="21:23">
      <c r="U392" s="144">
        <v>189729</v>
      </c>
      <c r="V392" s="144">
        <v>-18641.3</v>
      </c>
      <c r="W392" s="143">
        <v>10049.1</v>
      </c>
    </row>
    <row r="393" spans="21:23">
      <c r="U393" s="144">
        <v>201587</v>
      </c>
      <c r="V393" s="144">
        <v>-18641.3</v>
      </c>
      <c r="W393" s="143">
        <v>5909.46</v>
      </c>
    </row>
    <row r="394" spans="21:23">
      <c r="U394" s="144">
        <v>213445</v>
      </c>
      <c r="V394" s="144">
        <v>-18641.3</v>
      </c>
      <c r="W394" s="143">
        <v>4805.41</v>
      </c>
    </row>
    <row r="395" spans="21:23">
      <c r="U395" s="144">
        <v>225303</v>
      </c>
      <c r="V395" s="144">
        <v>-18641.3</v>
      </c>
      <c r="W395" s="143">
        <v>3227.78</v>
      </c>
    </row>
    <row r="396" spans="21:23">
      <c r="U396" s="144">
        <v>237161</v>
      </c>
      <c r="V396" s="144">
        <v>-18641.3</v>
      </c>
      <c r="W396" s="143">
        <v>2689.93</v>
      </c>
    </row>
    <row r="397" spans="21:23">
      <c r="U397" s="144">
        <v>249019</v>
      </c>
      <c r="V397" s="144">
        <v>-18641.3</v>
      </c>
      <c r="W397" s="143">
        <v>2144.6999999999998</v>
      </c>
    </row>
    <row r="398" spans="21:23">
      <c r="U398" s="144">
        <v>260877</v>
      </c>
      <c r="V398" s="144">
        <v>-18641.3</v>
      </c>
      <c r="W398" s="143">
        <v>1094.08</v>
      </c>
    </row>
    <row r="399" spans="21:23">
      <c r="U399" s="144">
        <v>272735</v>
      </c>
      <c r="V399" s="144">
        <v>-18641.3</v>
      </c>
      <c r="W399" s="143">
        <v>795.70500000000004</v>
      </c>
    </row>
    <row r="400" spans="21:23">
      <c r="U400" s="144">
        <v>284593</v>
      </c>
      <c r="V400" s="144">
        <v>-18641.3</v>
      </c>
      <c r="W400" s="143">
        <v>609.98</v>
      </c>
    </row>
    <row r="401" spans="21:23">
      <c r="U401" s="144">
        <v>296451</v>
      </c>
      <c r="V401" s="144">
        <v>-18641.3</v>
      </c>
      <c r="W401" s="143">
        <v>444.745</v>
      </c>
    </row>
    <row r="402" spans="21:23">
      <c r="U402" s="144">
        <v>308309</v>
      </c>
      <c r="V402" s="144">
        <v>-18641.3</v>
      </c>
      <c r="W402" s="143">
        <v>245.63499999999999</v>
      </c>
    </row>
    <row r="403" spans="21:23">
      <c r="U403" s="144">
        <v>320167</v>
      </c>
      <c r="V403" s="144">
        <v>-18641.3</v>
      </c>
      <c r="W403" s="143">
        <v>304.89999999999998</v>
      </c>
    </row>
    <row r="404" spans="21:23">
      <c r="U404" s="144">
        <v>332025</v>
      </c>
      <c r="V404" s="144">
        <v>-18641.3</v>
      </c>
      <c r="W404" s="143">
        <v>199.83500000000001</v>
      </c>
    </row>
    <row r="405" spans="21:23">
      <c r="U405" s="144">
        <v>343883</v>
      </c>
      <c r="V405" s="144">
        <v>-18641.3</v>
      </c>
      <c r="W405" s="143">
        <v>158.815</v>
      </c>
    </row>
    <row r="406" spans="21:23">
      <c r="U406" s="144">
        <v>355741</v>
      </c>
      <c r="V406" s="144">
        <v>-18641.3</v>
      </c>
      <c r="W406" s="143">
        <v>52.72</v>
      </c>
    </row>
    <row r="407" spans="21:23">
      <c r="U407" s="144">
        <v>367599</v>
      </c>
      <c r="V407" s="144">
        <v>-18641.3</v>
      </c>
      <c r="W407" s="143">
        <v>136.745</v>
      </c>
    </row>
    <row r="408" spans="21:23">
      <c r="U408" s="144">
        <v>379457</v>
      </c>
      <c r="V408" s="144">
        <v>-18641.3</v>
      </c>
      <c r="W408" s="143">
        <v>89.974999999999994</v>
      </c>
    </row>
    <row r="409" spans="21:23">
      <c r="U409" s="144">
        <v>391315</v>
      </c>
      <c r="V409" s="144">
        <v>-18641.3</v>
      </c>
      <c r="W409" s="143">
        <v>76.900000000000006</v>
      </c>
    </row>
    <row r="410" spans="21:23">
      <c r="U410" s="144">
        <v>403173</v>
      </c>
      <c r="V410" s="144">
        <v>-18641.3</v>
      </c>
      <c r="W410" s="143">
        <v>22.734999999999999</v>
      </c>
    </row>
    <row r="411" spans="21:23">
      <c r="U411" s="144">
        <v>415031</v>
      </c>
      <c r="V411" s="144">
        <v>-18641.3</v>
      </c>
      <c r="W411" s="143">
        <v>19.684999999999999</v>
      </c>
    </row>
    <row r="412" spans="21:23">
      <c r="U412" s="144">
        <v>426889</v>
      </c>
      <c r="V412" s="144">
        <v>-18641.3</v>
      </c>
      <c r="W412" s="143">
        <v>28.97</v>
      </c>
    </row>
    <row r="413" spans="21:23">
      <c r="U413" s="144">
        <v>438747</v>
      </c>
      <c r="V413" s="144">
        <v>-18641.3</v>
      </c>
      <c r="W413" s="143">
        <v>23.495000000000001</v>
      </c>
    </row>
    <row r="414" spans="21:23">
      <c r="U414" s="144">
        <v>450606</v>
      </c>
      <c r="V414" s="144">
        <v>-18641.3</v>
      </c>
      <c r="W414" s="143">
        <v>38.03</v>
      </c>
    </row>
    <row r="415" spans="21:23">
      <c r="U415" s="144">
        <v>462464</v>
      </c>
      <c r="V415" s="144">
        <v>-18641.3</v>
      </c>
      <c r="W415" s="143">
        <v>2.88</v>
      </c>
    </row>
    <row r="416" spans="21:23">
      <c r="U416" s="144">
        <v>474322</v>
      </c>
      <c r="V416" s="144">
        <v>-18641.3</v>
      </c>
      <c r="W416" s="143">
        <v>30.295000000000002</v>
      </c>
    </row>
    <row r="417" spans="21:23">
      <c r="U417" s="144">
        <v>486180</v>
      </c>
      <c r="V417" s="144">
        <v>-18641.3</v>
      </c>
      <c r="W417" s="143">
        <v>14.33</v>
      </c>
    </row>
    <row r="418" spans="21:23">
      <c r="U418" s="144">
        <v>498038</v>
      </c>
      <c r="V418" s="144">
        <v>-18641.3</v>
      </c>
      <c r="W418" s="143">
        <v>4.4800000000000004</v>
      </c>
    </row>
    <row r="419" spans="21:23">
      <c r="U419" s="144">
        <v>509896</v>
      </c>
      <c r="V419" s="144">
        <v>-18641.3</v>
      </c>
      <c r="W419" s="143">
        <v>0.42</v>
      </c>
    </row>
    <row r="420" spans="21:23">
      <c r="U420" s="144">
        <v>521754</v>
      </c>
      <c r="V420" s="144">
        <v>-18641.3</v>
      </c>
      <c r="W420" s="143">
        <v>0.20499999999999999</v>
      </c>
    </row>
    <row r="421" spans="21:23">
      <c r="U421" s="144">
        <v>533612</v>
      </c>
      <c r="V421" s="144">
        <v>-18641.3</v>
      </c>
      <c r="W421" s="143">
        <v>1.4999999999999999E-2</v>
      </c>
    </row>
    <row r="422" spans="21:23">
      <c r="U422" s="144">
        <v>545470</v>
      </c>
      <c r="V422" s="144">
        <v>-18641.3</v>
      </c>
      <c r="W422" s="143">
        <v>1.4999999999999999E-2</v>
      </c>
    </row>
    <row r="423" spans="21:23">
      <c r="U423" s="144">
        <v>557328</v>
      </c>
      <c r="V423" s="144">
        <v>-18641.3</v>
      </c>
      <c r="W423" s="143">
        <v>1.4999999999999999E-2</v>
      </c>
    </row>
    <row r="424" spans="21:23">
      <c r="U424" s="144">
        <v>581044</v>
      </c>
      <c r="V424" s="144">
        <v>-18641.3</v>
      </c>
      <c r="W424" s="143">
        <v>0.19</v>
      </c>
    </row>
    <row r="425" spans="21:23">
      <c r="U425" s="144">
        <v>4.3536999999999999E-2</v>
      </c>
      <c r="V425" s="144">
        <v>-3155.46</v>
      </c>
      <c r="W425" s="143">
        <v>43560000</v>
      </c>
    </row>
    <row r="426" spans="21:23">
      <c r="U426" s="144">
        <v>11858.1</v>
      </c>
      <c r="V426" s="144">
        <v>-3155.46</v>
      </c>
      <c r="W426" s="143">
        <v>4427710</v>
      </c>
    </row>
    <row r="427" spans="21:23">
      <c r="U427" s="144">
        <v>23716.1</v>
      </c>
      <c r="V427" s="144">
        <v>-3155.46</v>
      </c>
      <c r="W427" s="143">
        <v>4031900</v>
      </c>
    </row>
    <row r="428" spans="21:23">
      <c r="U428" s="144">
        <v>35574.199999999997</v>
      </c>
      <c r="V428" s="144">
        <v>-3155.46</v>
      </c>
      <c r="W428" s="143">
        <v>2711740</v>
      </c>
    </row>
    <row r="429" spans="21:23">
      <c r="U429" s="144">
        <v>47432.2</v>
      </c>
      <c r="V429" s="144">
        <v>-3155.46</v>
      </c>
      <c r="W429" s="143">
        <v>1629800</v>
      </c>
    </row>
    <row r="430" spans="21:23">
      <c r="U430" s="144">
        <v>59290.2</v>
      </c>
      <c r="V430" s="144">
        <v>-3155.46</v>
      </c>
      <c r="W430" s="143">
        <v>885156</v>
      </c>
    </row>
    <row r="431" spans="21:23">
      <c r="U431" s="144">
        <v>71148.3</v>
      </c>
      <c r="V431" s="144">
        <v>-3155.46</v>
      </c>
      <c r="W431" s="143">
        <v>444869</v>
      </c>
    </row>
    <row r="432" spans="21:23">
      <c r="U432" s="144">
        <v>83006.3</v>
      </c>
      <c r="V432" s="144">
        <v>-3155.46</v>
      </c>
      <c r="W432" s="143">
        <v>207223</v>
      </c>
    </row>
    <row r="433" spans="21:23">
      <c r="U433" s="144">
        <v>94864.4</v>
      </c>
      <c r="V433" s="144">
        <v>-3155.46</v>
      </c>
      <c r="W433" s="143">
        <v>90867.9</v>
      </c>
    </row>
    <row r="434" spans="21:23">
      <c r="U434" s="144">
        <v>106722</v>
      </c>
      <c r="V434" s="144">
        <v>-3155.46</v>
      </c>
      <c r="W434" s="143">
        <v>42914.8</v>
      </c>
    </row>
    <row r="435" spans="21:23">
      <c r="U435" s="144">
        <v>118580</v>
      </c>
      <c r="V435" s="144">
        <v>-3155.46</v>
      </c>
      <c r="W435" s="143">
        <v>25646.1</v>
      </c>
    </row>
    <row r="436" spans="21:23">
      <c r="U436" s="144">
        <v>130438</v>
      </c>
      <c r="V436" s="144">
        <v>-3155.46</v>
      </c>
      <c r="W436" s="143">
        <v>17869.8</v>
      </c>
    </row>
    <row r="437" spans="21:23">
      <c r="U437" s="144">
        <v>142297</v>
      </c>
      <c r="V437" s="144">
        <v>-3155.46</v>
      </c>
      <c r="W437" s="143">
        <v>10194.200000000001</v>
      </c>
    </row>
    <row r="438" spans="21:23">
      <c r="U438" s="144">
        <v>154155</v>
      </c>
      <c r="V438" s="144">
        <v>-3155.46</v>
      </c>
      <c r="W438" s="143">
        <v>5483</v>
      </c>
    </row>
    <row r="439" spans="21:23">
      <c r="U439" s="144">
        <v>166013</v>
      </c>
      <c r="V439" s="144">
        <v>-3155.46</v>
      </c>
      <c r="W439" s="143">
        <v>4945.3100000000004</v>
      </c>
    </row>
    <row r="440" spans="21:23">
      <c r="U440" s="144">
        <v>177871</v>
      </c>
      <c r="V440" s="144">
        <v>-3155.46</v>
      </c>
      <c r="W440" s="143">
        <v>4429.8999999999996</v>
      </c>
    </row>
    <row r="441" spans="21:23">
      <c r="U441" s="144">
        <v>189729</v>
      </c>
      <c r="V441" s="144">
        <v>-3155.46</v>
      </c>
      <c r="W441" s="143">
        <v>4660.4799999999996</v>
      </c>
    </row>
    <row r="442" spans="21:23">
      <c r="U442" s="144">
        <v>201587</v>
      </c>
      <c r="V442" s="144">
        <v>-3155.46</v>
      </c>
      <c r="W442" s="143">
        <v>1485.23</v>
      </c>
    </row>
    <row r="443" spans="21:23">
      <c r="U443" s="144">
        <v>213445</v>
      </c>
      <c r="V443" s="144">
        <v>-3155.46</v>
      </c>
      <c r="W443" s="143">
        <v>1171.02</v>
      </c>
    </row>
    <row r="444" spans="21:23">
      <c r="U444" s="144">
        <v>225303</v>
      </c>
      <c r="V444" s="144">
        <v>-3155.46</v>
      </c>
      <c r="W444" s="143">
        <v>738.23</v>
      </c>
    </row>
    <row r="445" spans="21:23">
      <c r="U445" s="144">
        <v>237161</v>
      </c>
      <c r="V445" s="144">
        <v>-3155.46</v>
      </c>
      <c r="W445" s="143">
        <v>602.48</v>
      </c>
    </row>
    <row r="446" spans="21:23">
      <c r="U446" s="144">
        <v>249019</v>
      </c>
      <c r="V446" s="144">
        <v>-3155.46</v>
      </c>
      <c r="W446" s="143">
        <v>593.53499999999997</v>
      </c>
    </row>
    <row r="447" spans="21:23">
      <c r="U447" s="144">
        <v>260877</v>
      </c>
      <c r="V447" s="144">
        <v>-3155.46</v>
      </c>
      <c r="W447" s="143">
        <v>369.79</v>
      </c>
    </row>
    <row r="448" spans="21:23">
      <c r="U448" s="144">
        <v>272735</v>
      </c>
      <c r="V448" s="144">
        <v>-3155.46</v>
      </c>
      <c r="W448" s="143">
        <v>277.52499999999998</v>
      </c>
    </row>
    <row r="449" spans="21:23">
      <c r="U449" s="144">
        <v>284593</v>
      </c>
      <c r="V449" s="144">
        <v>-3155.46</v>
      </c>
      <c r="W449" s="143">
        <v>258.19</v>
      </c>
    </row>
    <row r="450" spans="21:23">
      <c r="U450" s="144">
        <v>296451</v>
      </c>
      <c r="V450" s="144">
        <v>-3155.46</v>
      </c>
      <c r="W450" s="143">
        <v>158.77500000000001</v>
      </c>
    </row>
    <row r="451" spans="21:23">
      <c r="U451" s="144">
        <v>308309</v>
      </c>
      <c r="V451" s="144">
        <v>-3155.46</v>
      </c>
      <c r="W451" s="143">
        <v>157.18</v>
      </c>
    </row>
    <row r="452" spans="21:23">
      <c r="U452" s="144">
        <v>320167</v>
      </c>
      <c r="V452" s="144">
        <v>-3155.46</v>
      </c>
      <c r="W452" s="143">
        <v>114.83</v>
      </c>
    </row>
    <row r="453" spans="21:23">
      <c r="U453" s="144">
        <v>332025</v>
      </c>
      <c r="V453" s="144">
        <v>-3155.46</v>
      </c>
      <c r="W453" s="143">
        <v>83.36</v>
      </c>
    </row>
    <row r="454" spans="21:23">
      <c r="U454" s="144">
        <v>343883</v>
      </c>
      <c r="V454" s="144">
        <v>-3155.46</v>
      </c>
      <c r="W454" s="143">
        <v>60.384999999999998</v>
      </c>
    </row>
    <row r="455" spans="21:23">
      <c r="U455" s="144">
        <v>355741</v>
      </c>
      <c r="V455" s="144">
        <v>-3155.46</v>
      </c>
      <c r="W455" s="143">
        <v>46.67</v>
      </c>
    </row>
    <row r="456" spans="21:23">
      <c r="U456" s="144">
        <v>367599</v>
      </c>
      <c r="V456" s="144">
        <v>-3155.46</v>
      </c>
      <c r="W456" s="143">
        <v>45.43</v>
      </c>
    </row>
    <row r="457" spans="21:23">
      <c r="U457" s="144">
        <v>379457</v>
      </c>
      <c r="V457" s="144">
        <v>-3155.46</v>
      </c>
      <c r="W457" s="143">
        <v>65.23</v>
      </c>
    </row>
    <row r="458" spans="21:23">
      <c r="U458" s="144">
        <v>391315</v>
      </c>
      <c r="V458" s="144">
        <v>-3155.46</v>
      </c>
      <c r="W458" s="143">
        <v>61.465000000000003</v>
      </c>
    </row>
    <row r="459" spans="21:23">
      <c r="U459" s="144">
        <v>403173</v>
      </c>
      <c r="V459" s="144">
        <v>-3155.46</v>
      </c>
      <c r="W459" s="143">
        <v>34.994999999999997</v>
      </c>
    </row>
    <row r="460" spans="21:23">
      <c r="U460" s="144">
        <v>415031</v>
      </c>
      <c r="V460" s="144">
        <v>-3155.46</v>
      </c>
      <c r="W460" s="143">
        <v>18.024999999999999</v>
      </c>
    </row>
    <row r="461" spans="21:23">
      <c r="U461" s="144">
        <v>426889</v>
      </c>
      <c r="V461" s="144">
        <v>-3155.46</v>
      </c>
      <c r="W461" s="143">
        <v>24.21</v>
      </c>
    </row>
    <row r="462" spans="21:23">
      <c r="U462" s="144">
        <v>438747</v>
      </c>
      <c r="V462" s="144">
        <v>-3155.46</v>
      </c>
      <c r="W462" s="143">
        <v>18.899999999999999</v>
      </c>
    </row>
    <row r="463" spans="21:23">
      <c r="U463" s="144">
        <v>450606</v>
      </c>
      <c r="V463" s="144">
        <v>-3155.46</v>
      </c>
      <c r="W463" s="143">
        <v>16.195</v>
      </c>
    </row>
    <row r="464" spans="21:23">
      <c r="U464" s="144">
        <v>462464</v>
      </c>
      <c r="V464" s="144">
        <v>-3155.46</v>
      </c>
      <c r="W464" s="143">
        <v>2.9750000000000001</v>
      </c>
    </row>
    <row r="465" spans="21:23">
      <c r="U465" s="144">
        <v>474322</v>
      </c>
      <c r="V465" s="144">
        <v>-3155.46</v>
      </c>
      <c r="W465" s="143">
        <v>7.5750000000000002</v>
      </c>
    </row>
    <row r="466" spans="21:23">
      <c r="U466" s="144">
        <v>486180</v>
      </c>
      <c r="V466" s="144">
        <v>-3155.46</v>
      </c>
      <c r="W466" s="143">
        <v>1.2849999999999999</v>
      </c>
    </row>
    <row r="467" spans="21:23">
      <c r="U467" s="144">
        <v>498038</v>
      </c>
      <c r="V467" s="144">
        <v>-3155.46</v>
      </c>
      <c r="W467" s="143">
        <v>0.82</v>
      </c>
    </row>
    <row r="468" spans="21:23">
      <c r="U468" s="144">
        <v>509896</v>
      </c>
      <c r="V468" s="144">
        <v>-3155.46</v>
      </c>
      <c r="W468" s="143">
        <v>0.22</v>
      </c>
    </row>
    <row r="469" spans="21:23">
      <c r="U469" s="144">
        <v>521754</v>
      </c>
      <c r="V469" s="144">
        <v>-3155.46</v>
      </c>
      <c r="W469" s="143">
        <v>4.54</v>
      </c>
    </row>
    <row r="470" spans="21:23">
      <c r="U470" s="144">
        <v>533612</v>
      </c>
      <c r="V470" s="144">
        <v>-3155.46</v>
      </c>
      <c r="W470" s="143">
        <v>0.31</v>
      </c>
    </row>
    <row r="471" spans="21:23">
      <c r="U471" s="144">
        <v>592902</v>
      </c>
      <c r="V471" s="144">
        <v>-3155.46</v>
      </c>
      <c r="W471" s="143">
        <v>0.155</v>
      </c>
    </row>
    <row r="472" spans="21:23">
      <c r="U472" s="144">
        <v>4.3536999999999999E-2</v>
      </c>
      <c r="V472" s="144">
        <v>12330.4</v>
      </c>
      <c r="W472" s="143">
        <v>41607500</v>
      </c>
    </row>
    <row r="473" spans="21:23">
      <c r="U473" s="144">
        <v>11858.1</v>
      </c>
      <c r="V473" s="144">
        <v>12330.4</v>
      </c>
      <c r="W473" s="143">
        <v>4636140</v>
      </c>
    </row>
    <row r="474" spans="21:23">
      <c r="U474" s="144">
        <v>23716.1</v>
      </c>
      <c r="V474" s="144">
        <v>12330.4</v>
      </c>
      <c r="W474" s="143">
        <v>3898660</v>
      </c>
    </row>
    <row r="475" spans="21:23">
      <c r="U475" s="144">
        <v>35574.199999999997</v>
      </c>
      <c r="V475" s="144">
        <v>12330.4</v>
      </c>
      <c r="W475" s="143">
        <v>2517160</v>
      </c>
    </row>
    <row r="476" spans="21:23">
      <c r="U476" s="144">
        <v>47432.2</v>
      </c>
      <c r="V476" s="144">
        <v>12330.4</v>
      </c>
      <c r="W476" s="143">
        <v>1481920</v>
      </c>
    </row>
    <row r="477" spans="21:23">
      <c r="U477" s="144">
        <v>59290.2</v>
      </c>
      <c r="V477" s="144">
        <v>12330.4</v>
      </c>
      <c r="W477" s="143">
        <v>804464</v>
      </c>
    </row>
    <row r="478" spans="21:23">
      <c r="U478" s="144">
        <v>71148.3</v>
      </c>
      <c r="V478" s="144">
        <v>12330.4</v>
      </c>
      <c r="W478" s="143">
        <v>420885</v>
      </c>
    </row>
    <row r="479" spans="21:23">
      <c r="U479" s="144">
        <v>83006.3</v>
      </c>
      <c r="V479" s="144">
        <v>12330.4</v>
      </c>
      <c r="W479" s="143">
        <v>236093</v>
      </c>
    </row>
    <row r="480" spans="21:23">
      <c r="U480" s="144">
        <v>94864.4</v>
      </c>
      <c r="V480" s="144">
        <v>12330.4</v>
      </c>
      <c r="W480" s="143">
        <v>137114</v>
      </c>
    </row>
    <row r="481" spans="21:23">
      <c r="U481" s="144">
        <v>106722</v>
      </c>
      <c r="V481" s="144">
        <v>12330.4</v>
      </c>
      <c r="W481" s="143">
        <v>90649.2</v>
      </c>
    </row>
    <row r="482" spans="21:23">
      <c r="U482" s="144">
        <v>118580</v>
      </c>
      <c r="V482" s="144">
        <v>12330.4</v>
      </c>
      <c r="W482" s="143">
        <v>61388.5</v>
      </c>
    </row>
    <row r="483" spans="21:23">
      <c r="U483" s="144">
        <v>130438</v>
      </c>
      <c r="V483" s="144">
        <v>12330.4</v>
      </c>
      <c r="W483" s="143">
        <v>45411.7</v>
      </c>
    </row>
    <row r="484" spans="21:23">
      <c r="U484" s="144">
        <v>142297</v>
      </c>
      <c r="V484" s="144">
        <v>12330.4</v>
      </c>
      <c r="W484" s="143">
        <v>29617.599999999999</v>
      </c>
    </row>
    <row r="485" spans="21:23">
      <c r="U485" s="144">
        <v>154155</v>
      </c>
      <c r="V485" s="144">
        <v>12330.4</v>
      </c>
      <c r="W485" s="143">
        <v>22743.8</v>
      </c>
    </row>
    <row r="486" spans="21:23">
      <c r="U486" s="144">
        <v>166013</v>
      </c>
      <c r="V486" s="144">
        <v>12330.4</v>
      </c>
      <c r="W486" s="143">
        <v>17217.8</v>
      </c>
    </row>
    <row r="487" spans="21:23">
      <c r="U487" s="144">
        <v>177871</v>
      </c>
      <c r="V487" s="144">
        <v>12330.4</v>
      </c>
      <c r="W487" s="143">
        <v>12544.6</v>
      </c>
    </row>
    <row r="488" spans="21:23">
      <c r="U488" s="144">
        <v>189729</v>
      </c>
      <c r="V488" s="144">
        <v>12330.4</v>
      </c>
      <c r="W488" s="143">
        <v>10818.5</v>
      </c>
    </row>
    <row r="489" spans="21:23">
      <c r="U489" s="144">
        <v>201587</v>
      </c>
      <c r="V489" s="144">
        <v>12330.4</v>
      </c>
      <c r="W489" s="143">
        <v>8042.7</v>
      </c>
    </row>
    <row r="490" spans="21:23">
      <c r="U490" s="144">
        <v>213445</v>
      </c>
      <c r="V490" s="144">
        <v>12330.4</v>
      </c>
      <c r="W490" s="143">
        <v>8147.57</v>
      </c>
    </row>
    <row r="491" spans="21:23">
      <c r="U491" s="144">
        <v>225303</v>
      </c>
      <c r="V491" s="144">
        <v>12330.4</v>
      </c>
      <c r="W491" s="143">
        <v>5195.8999999999996</v>
      </c>
    </row>
    <row r="492" spans="21:23">
      <c r="U492" s="144">
        <v>237161</v>
      </c>
      <c r="V492" s="144">
        <v>12330.4</v>
      </c>
      <c r="W492" s="143">
        <v>4217.46</v>
      </c>
    </row>
    <row r="493" spans="21:23">
      <c r="U493" s="144">
        <v>249019</v>
      </c>
      <c r="V493" s="144">
        <v>12330.4</v>
      </c>
      <c r="W493" s="143">
        <v>3805.39</v>
      </c>
    </row>
    <row r="494" spans="21:23">
      <c r="U494" s="144">
        <v>260877</v>
      </c>
      <c r="V494" s="144">
        <v>12330.4</v>
      </c>
      <c r="W494" s="143">
        <v>2085.69</v>
      </c>
    </row>
    <row r="495" spans="21:23">
      <c r="U495" s="144">
        <v>272735</v>
      </c>
      <c r="V495" s="144">
        <v>12330.4</v>
      </c>
      <c r="W495" s="143">
        <v>1914.31</v>
      </c>
    </row>
    <row r="496" spans="21:23">
      <c r="U496" s="144">
        <v>284593</v>
      </c>
      <c r="V496" s="144">
        <v>12330.4</v>
      </c>
      <c r="W496" s="143">
        <v>1329.3</v>
      </c>
    </row>
    <row r="497" spans="21:23">
      <c r="U497" s="144">
        <v>296451</v>
      </c>
      <c r="V497" s="144">
        <v>12330.4</v>
      </c>
      <c r="W497" s="143">
        <v>1188.5</v>
      </c>
    </row>
    <row r="498" spans="21:23">
      <c r="U498" s="144">
        <v>308309</v>
      </c>
      <c r="V498" s="144">
        <v>12330.4</v>
      </c>
      <c r="W498" s="143">
        <v>682.63499999999999</v>
      </c>
    </row>
    <row r="499" spans="21:23">
      <c r="U499" s="144">
        <v>320167</v>
      </c>
      <c r="V499" s="144">
        <v>12330.4</v>
      </c>
      <c r="W499" s="143">
        <v>503.41500000000002</v>
      </c>
    </row>
    <row r="500" spans="21:23">
      <c r="U500" s="144">
        <v>332025</v>
      </c>
      <c r="V500" s="144">
        <v>12330.4</v>
      </c>
      <c r="W500" s="143">
        <v>572.755</v>
      </c>
    </row>
    <row r="501" spans="21:23">
      <c r="U501" s="144">
        <v>343883</v>
      </c>
      <c r="V501" s="144">
        <v>12330.4</v>
      </c>
      <c r="W501" s="143">
        <v>359.85500000000002</v>
      </c>
    </row>
    <row r="502" spans="21:23">
      <c r="U502" s="144">
        <v>355741</v>
      </c>
      <c r="V502" s="144">
        <v>12330.4</v>
      </c>
      <c r="W502" s="143">
        <v>144.33000000000001</v>
      </c>
    </row>
    <row r="503" spans="21:23">
      <c r="U503" s="144">
        <v>367599</v>
      </c>
      <c r="V503" s="144">
        <v>12330.4</v>
      </c>
      <c r="W503" s="143">
        <v>133.01</v>
      </c>
    </row>
    <row r="504" spans="21:23">
      <c r="U504" s="144">
        <v>379457</v>
      </c>
      <c r="V504" s="144">
        <v>12330.4</v>
      </c>
      <c r="W504" s="143">
        <v>118.66</v>
      </c>
    </row>
    <row r="505" spans="21:23">
      <c r="U505" s="144">
        <v>391315</v>
      </c>
      <c r="V505" s="144">
        <v>12330.4</v>
      </c>
      <c r="W505" s="143">
        <v>139.07499999999999</v>
      </c>
    </row>
    <row r="506" spans="21:23">
      <c r="U506" s="144">
        <v>403173</v>
      </c>
      <c r="V506" s="144">
        <v>12330.4</v>
      </c>
      <c r="W506" s="143">
        <v>36.200000000000003</v>
      </c>
    </row>
    <row r="507" spans="21:23">
      <c r="U507" s="144">
        <v>415031</v>
      </c>
      <c r="V507" s="144">
        <v>12330.4</v>
      </c>
      <c r="W507" s="143">
        <v>64.504999999999995</v>
      </c>
    </row>
    <row r="508" spans="21:23">
      <c r="U508" s="144">
        <v>426889</v>
      </c>
      <c r="V508" s="144">
        <v>12330.4</v>
      </c>
      <c r="W508" s="143">
        <v>44.88</v>
      </c>
    </row>
    <row r="509" spans="21:23">
      <c r="U509" s="144">
        <v>438747</v>
      </c>
      <c r="V509" s="144">
        <v>12330.4</v>
      </c>
      <c r="W509" s="143">
        <v>46</v>
      </c>
    </row>
    <row r="510" spans="21:23">
      <c r="U510" s="144">
        <v>450606</v>
      </c>
      <c r="V510" s="144">
        <v>12330.4</v>
      </c>
      <c r="W510" s="143">
        <v>9.7550000000000008</v>
      </c>
    </row>
    <row r="511" spans="21:23">
      <c r="U511" s="144">
        <v>462464</v>
      </c>
      <c r="V511" s="144">
        <v>12330.4</v>
      </c>
      <c r="W511" s="143">
        <v>5.97</v>
      </c>
    </row>
    <row r="512" spans="21:23">
      <c r="U512" s="144">
        <v>474322</v>
      </c>
      <c r="V512" s="144">
        <v>12330.4</v>
      </c>
      <c r="W512" s="143">
        <v>4.0149999999999997</v>
      </c>
    </row>
    <row r="513" spans="21:23">
      <c r="U513" s="144">
        <v>486180</v>
      </c>
      <c r="V513" s="144">
        <v>12330.4</v>
      </c>
      <c r="W513" s="143">
        <v>12.935</v>
      </c>
    </row>
    <row r="514" spans="21:23">
      <c r="U514" s="144">
        <v>498038</v>
      </c>
      <c r="V514" s="144">
        <v>12330.4</v>
      </c>
      <c r="W514" s="143">
        <v>9.6649999999999991</v>
      </c>
    </row>
    <row r="515" spans="21:23">
      <c r="U515" s="144">
        <v>509896</v>
      </c>
      <c r="V515" s="144">
        <v>12330.4</v>
      </c>
      <c r="W515" s="143">
        <v>0.71</v>
      </c>
    </row>
    <row r="516" spans="21:23">
      <c r="U516" s="144">
        <v>521754</v>
      </c>
      <c r="V516" s="144">
        <v>12330.4</v>
      </c>
      <c r="W516" s="143">
        <v>0.14499999999999999</v>
      </c>
    </row>
    <row r="517" spans="21:23">
      <c r="U517" s="144">
        <v>533612</v>
      </c>
      <c r="V517" s="144">
        <v>12330.4</v>
      </c>
      <c r="W517" s="143">
        <v>0.17499999999999999</v>
      </c>
    </row>
    <row r="518" spans="21:23">
      <c r="U518" s="144">
        <v>545470</v>
      </c>
      <c r="V518" s="144">
        <v>12330.4</v>
      </c>
      <c r="W518" s="143">
        <v>0.11</v>
      </c>
    </row>
    <row r="519" spans="21:23">
      <c r="U519" s="144">
        <v>557328</v>
      </c>
      <c r="V519" s="144">
        <v>12330.4</v>
      </c>
      <c r="W519" s="143">
        <v>0.11</v>
      </c>
    </row>
    <row r="520" spans="21:23">
      <c r="U520" s="144">
        <v>569186</v>
      </c>
      <c r="V520" s="144">
        <v>12330.4</v>
      </c>
      <c r="W520" s="143">
        <v>0.04</v>
      </c>
    </row>
    <row r="521" spans="21:23">
      <c r="U521" s="144">
        <v>581044</v>
      </c>
      <c r="V521" s="144">
        <v>12330.4</v>
      </c>
      <c r="W521" s="143">
        <v>0.17499999999999999</v>
      </c>
    </row>
    <row r="522" spans="21:23">
      <c r="U522" s="144">
        <v>4.3536999999999999E-2</v>
      </c>
      <c r="V522" s="144">
        <v>27816.2</v>
      </c>
      <c r="W522" s="143">
        <v>30866100</v>
      </c>
    </row>
    <row r="523" spans="21:23">
      <c r="U523" s="144">
        <v>11858.1</v>
      </c>
      <c r="V523" s="144">
        <v>27816.2</v>
      </c>
      <c r="W523" s="143">
        <v>3545180</v>
      </c>
    </row>
    <row r="524" spans="21:23">
      <c r="U524" s="144">
        <v>23716.1</v>
      </c>
      <c r="V524" s="144">
        <v>27816.2</v>
      </c>
      <c r="W524" s="143">
        <v>3096780</v>
      </c>
    </row>
    <row r="525" spans="21:23">
      <c r="U525" s="144">
        <v>35574.199999999997</v>
      </c>
      <c r="V525" s="144">
        <v>27816.2</v>
      </c>
      <c r="W525" s="143">
        <v>2043880</v>
      </c>
    </row>
    <row r="526" spans="21:23">
      <c r="U526" s="144">
        <v>47432.2</v>
      </c>
      <c r="V526" s="144">
        <v>27816.2</v>
      </c>
      <c r="W526" s="143">
        <v>1245070</v>
      </c>
    </row>
    <row r="527" spans="21:23">
      <c r="U527" s="144">
        <v>59290.2</v>
      </c>
      <c r="V527" s="144">
        <v>27816.2</v>
      </c>
      <c r="W527" s="143">
        <v>689496</v>
      </c>
    </row>
    <row r="528" spans="21:23">
      <c r="U528" s="144">
        <v>71148.3</v>
      </c>
      <c r="V528" s="144">
        <v>27816.2</v>
      </c>
      <c r="W528" s="143">
        <v>404138</v>
      </c>
    </row>
    <row r="529" spans="21:23">
      <c r="U529" s="144">
        <v>83006.3</v>
      </c>
      <c r="V529" s="144">
        <v>27816.2</v>
      </c>
      <c r="W529" s="143">
        <v>227490</v>
      </c>
    </row>
    <row r="530" spans="21:23">
      <c r="U530" s="144">
        <v>94864.4</v>
      </c>
      <c r="V530" s="144">
        <v>27816.2</v>
      </c>
      <c r="W530" s="143">
        <v>158701</v>
      </c>
    </row>
    <row r="531" spans="21:23">
      <c r="U531" s="144">
        <v>106722</v>
      </c>
      <c r="V531" s="144">
        <v>27816.2</v>
      </c>
      <c r="W531" s="143">
        <v>89702.9</v>
      </c>
    </row>
    <row r="532" spans="21:23">
      <c r="U532" s="144">
        <v>118580</v>
      </c>
      <c r="V532" s="144">
        <v>27816.2</v>
      </c>
      <c r="W532" s="143">
        <v>58573.1</v>
      </c>
    </row>
    <row r="533" spans="21:23">
      <c r="U533" s="144">
        <v>130438</v>
      </c>
      <c r="V533" s="144">
        <v>27816.2</v>
      </c>
      <c r="W533" s="143">
        <v>45280.2</v>
      </c>
    </row>
    <row r="534" spans="21:23">
      <c r="U534" s="144">
        <v>142297</v>
      </c>
      <c r="V534" s="144">
        <v>27816.2</v>
      </c>
      <c r="W534" s="143">
        <v>33012.699999999997</v>
      </c>
    </row>
    <row r="535" spans="21:23">
      <c r="U535" s="144">
        <v>154155</v>
      </c>
      <c r="V535" s="144">
        <v>27816.2</v>
      </c>
      <c r="W535" s="143">
        <v>23005</v>
      </c>
    </row>
    <row r="536" spans="21:23">
      <c r="U536" s="144">
        <v>166013</v>
      </c>
      <c r="V536" s="144">
        <v>27816.2</v>
      </c>
      <c r="W536" s="143">
        <v>14167.3</v>
      </c>
    </row>
    <row r="537" spans="21:23">
      <c r="U537" s="144">
        <v>177871</v>
      </c>
      <c r="V537" s="144">
        <v>27816.2</v>
      </c>
      <c r="W537" s="143">
        <v>10025.4</v>
      </c>
    </row>
    <row r="538" spans="21:23">
      <c r="U538" s="144">
        <v>189729</v>
      </c>
      <c r="V538" s="144">
        <v>27816.2</v>
      </c>
      <c r="W538" s="143">
        <v>7843.66</v>
      </c>
    </row>
    <row r="539" spans="21:23">
      <c r="U539" s="144">
        <v>201587</v>
      </c>
      <c r="V539" s="144">
        <v>27816.2</v>
      </c>
      <c r="W539" s="143">
        <v>7225.67</v>
      </c>
    </row>
    <row r="540" spans="21:23">
      <c r="U540" s="144">
        <v>213445</v>
      </c>
      <c r="V540" s="144">
        <v>27816.2</v>
      </c>
      <c r="W540" s="143">
        <v>6031.68</v>
      </c>
    </row>
    <row r="541" spans="21:23">
      <c r="U541" s="144">
        <v>225303</v>
      </c>
      <c r="V541" s="144">
        <v>27816.2</v>
      </c>
      <c r="W541" s="143">
        <v>5210.93</v>
      </c>
    </row>
    <row r="542" spans="21:23">
      <c r="U542" s="144">
        <v>237161</v>
      </c>
      <c r="V542" s="144">
        <v>27816.2</v>
      </c>
      <c r="W542" s="143">
        <v>3797.94</v>
      </c>
    </row>
    <row r="543" spans="21:23">
      <c r="U543" s="144">
        <v>249019</v>
      </c>
      <c r="V543" s="144">
        <v>27816.2</v>
      </c>
      <c r="W543" s="143">
        <v>2296.04</v>
      </c>
    </row>
    <row r="544" spans="21:23">
      <c r="U544" s="144">
        <v>260877</v>
      </c>
      <c r="V544" s="144">
        <v>27816.2</v>
      </c>
      <c r="W544" s="143">
        <v>2220.9</v>
      </c>
    </row>
    <row r="545" spans="21:23">
      <c r="U545" s="144">
        <v>272735</v>
      </c>
      <c r="V545" s="144">
        <v>27816.2</v>
      </c>
      <c r="W545" s="143">
        <v>1462.28</v>
      </c>
    </row>
    <row r="546" spans="21:23">
      <c r="U546" s="144">
        <v>284593</v>
      </c>
      <c r="V546" s="144">
        <v>27816.2</v>
      </c>
      <c r="W546" s="143">
        <v>1171.76</v>
      </c>
    </row>
    <row r="547" spans="21:23">
      <c r="U547" s="144">
        <v>296451</v>
      </c>
      <c r="V547" s="144">
        <v>27816.2</v>
      </c>
      <c r="W547" s="143">
        <v>585.91499999999996</v>
      </c>
    </row>
    <row r="548" spans="21:23">
      <c r="U548" s="144">
        <v>308309</v>
      </c>
      <c r="V548" s="144">
        <v>27816.2</v>
      </c>
      <c r="W548" s="143">
        <v>480.48500000000001</v>
      </c>
    </row>
    <row r="549" spans="21:23">
      <c r="U549" s="144">
        <v>320167</v>
      </c>
      <c r="V549" s="144">
        <v>27816.2</v>
      </c>
      <c r="W549" s="143">
        <v>296.52999999999997</v>
      </c>
    </row>
    <row r="550" spans="21:23">
      <c r="U550" s="144">
        <v>332025</v>
      </c>
      <c r="V550" s="144">
        <v>27816.2</v>
      </c>
      <c r="W550" s="143">
        <v>307.40499999999997</v>
      </c>
    </row>
    <row r="551" spans="21:23">
      <c r="U551" s="144">
        <v>343883</v>
      </c>
      <c r="V551" s="144">
        <v>27816.2</v>
      </c>
      <c r="W551" s="143">
        <v>277.45</v>
      </c>
    </row>
    <row r="552" spans="21:23">
      <c r="U552" s="144">
        <v>355741</v>
      </c>
      <c r="V552" s="144">
        <v>27816.2</v>
      </c>
      <c r="W552" s="143">
        <v>129.745</v>
      </c>
    </row>
    <row r="553" spans="21:23">
      <c r="U553" s="144">
        <v>367599</v>
      </c>
      <c r="V553" s="144">
        <v>27816.2</v>
      </c>
      <c r="W553" s="143">
        <v>96.715000000000003</v>
      </c>
    </row>
    <row r="554" spans="21:23">
      <c r="U554" s="144">
        <v>379457</v>
      </c>
      <c r="V554" s="144">
        <v>27816.2</v>
      </c>
      <c r="W554" s="143">
        <v>79.09</v>
      </c>
    </row>
    <row r="555" spans="21:23">
      <c r="U555" s="144">
        <v>391315</v>
      </c>
      <c r="V555" s="144">
        <v>27816.2</v>
      </c>
      <c r="W555" s="143">
        <v>62.79</v>
      </c>
    </row>
    <row r="556" spans="21:23">
      <c r="U556" s="144">
        <v>403173</v>
      </c>
      <c r="V556" s="144">
        <v>27816.2</v>
      </c>
      <c r="W556" s="143">
        <v>78.144999999999996</v>
      </c>
    </row>
    <row r="557" spans="21:23">
      <c r="U557" s="144">
        <v>415031</v>
      </c>
      <c r="V557" s="144">
        <v>27816.2</v>
      </c>
      <c r="W557" s="143">
        <v>44.62</v>
      </c>
    </row>
    <row r="558" spans="21:23">
      <c r="U558" s="144">
        <v>426889</v>
      </c>
      <c r="V558" s="144">
        <v>27816.2</v>
      </c>
      <c r="W558" s="143">
        <v>27.38</v>
      </c>
    </row>
    <row r="559" spans="21:23">
      <c r="U559" s="144">
        <v>438747</v>
      </c>
      <c r="V559" s="144">
        <v>27816.2</v>
      </c>
      <c r="W559" s="143">
        <v>2.59</v>
      </c>
    </row>
    <row r="560" spans="21:23">
      <c r="U560" s="144">
        <v>450606</v>
      </c>
      <c r="V560" s="144">
        <v>27816.2</v>
      </c>
      <c r="W560" s="143">
        <v>10.050000000000001</v>
      </c>
    </row>
    <row r="561" spans="21:23">
      <c r="U561" s="144">
        <v>462464</v>
      </c>
      <c r="V561" s="144">
        <v>27816.2</v>
      </c>
      <c r="W561" s="143">
        <v>5.8049999999999997</v>
      </c>
    </row>
    <row r="562" spans="21:23">
      <c r="U562" s="144">
        <v>474322</v>
      </c>
      <c r="V562" s="144">
        <v>27816.2</v>
      </c>
      <c r="W562" s="143">
        <v>0.44500000000000001</v>
      </c>
    </row>
    <row r="563" spans="21:23">
      <c r="U563" s="144">
        <v>486180</v>
      </c>
      <c r="V563" s="144">
        <v>27816.2</v>
      </c>
      <c r="W563" s="143">
        <v>0.83499999999999996</v>
      </c>
    </row>
    <row r="564" spans="21:23">
      <c r="U564" s="144">
        <v>498038</v>
      </c>
      <c r="V564" s="144">
        <v>27816.2</v>
      </c>
      <c r="W564" s="143">
        <v>0.15</v>
      </c>
    </row>
    <row r="565" spans="21:23">
      <c r="U565" s="144">
        <v>509896</v>
      </c>
      <c r="V565" s="144">
        <v>27816.2</v>
      </c>
      <c r="W565" s="143">
        <v>3.5000000000000003E-2</v>
      </c>
    </row>
    <row r="566" spans="21:23">
      <c r="U566" s="144">
        <v>521754</v>
      </c>
      <c r="V566" s="144">
        <v>27816.2</v>
      </c>
      <c r="W566" s="143">
        <v>0.28999999999999998</v>
      </c>
    </row>
    <row r="567" spans="21:23">
      <c r="U567" s="144">
        <v>533612</v>
      </c>
      <c r="V567" s="144">
        <v>27816.2</v>
      </c>
      <c r="W567" s="143">
        <v>0.35499999999999998</v>
      </c>
    </row>
    <row r="568" spans="21:23">
      <c r="U568" s="144">
        <v>545470</v>
      </c>
      <c r="V568" s="144">
        <v>27816.2</v>
      </c>
      <c r="W568" s="143">
        <v>0.04</v>
      </c>
    </row>
    <row r="569" spans="21:23">
      <c r="U569" s="144">
        <v>4.3536999999999999E-2</v>
      </c>
      <c r="V569" s="144">
        <v>43302</v>
      </c>
      <c r="W569" s="143">
        <v>22909400</v>
      </c>
    </row>
    <row r="570" spans="21:23">
      <c r="U570" s="144">
        <v>11858.1</v>
      </c>
      <c r="V570" s="144">
        <v>43302</v>
      </c>
      <c r="W570" s="143">
        <v>1817510</v>
      </c>
    </row>
    <row r="571" spans="21:23">
      <c r="U571" s="144">
        <v>23716.1</v>
      </c>
      <c r="V571" s="144">
        <v>43302</v>
      </c>
      <c r="W571" s="143">
        <v>1706820</v>
      </c>
    </row>
    <row r="572" spans="21:23">
      <c r="U572" s="144">
        <v>35574.199999999997</v>
      </c>
      <c r="V572" s="144">
        <v>43302</v>
      </c>
      <c r="W572" s="143">
        <v>1143490</v>
      </c>
    </row>
    <row r="573" spans="21:23">
      <c r="U573" s="144">
        <v>47432.2</v>
      </c>
      <c r="V573" s="144">
        <v>43302</v>
      </c>
      <c r="W573" s="143">
        <v>686771</v>
      </c>
    </row>
    <row r="574" spans="21:23">
      <c r="U574" s="144">
        <v>59290.2</v>
      </c>
      <c r="V574" s="144">
        <v>43302</v>
      </c>
      <c r="W574" s="143">
        <v>368348</v>
      </c>
    </row>
    <row r="575" spans="21:23">
      <c r="U575" s="144">
        <v>71148.3</v>
      </c>
      <c r="V575" s="144">
        <v>43302</v>
      </c>
      <c r="W575" s="143">
        <v>217534</v>
      </c>
    </row>
    <row r="576" spans="21:23">
      <c r="U576" s="144">
        <v>83006.3</v>
      </c>
      <c r="V576" s="144">
        <v>43302</v>
      </c>
      <c r="W576" s="143">
        <v>125659</v>
      </c>
    </row>
    <row r="577" spans="21:23">
      <c r="U577" s="144">
        <v>94864.4</v>
      </c>
      <c r="V577" s="144">
        <v>43302</v>
      </c>
      <c r="W577" s="143">
        <v>65817.899999999994</v>
      </c>
    </row>
    <row r="578" spans="21:23">
      <c r="U578" s="144">
        <v>106722</v>
      </c>
      <c r="V578" s="144">
        <v>43302</v>
      </c>
      <c r="W578" s="143">
        <v>40771</v>
      </c>
    </row>
    <row r="579" spans="21:23">
      <c r="U579" s="144">
        <v>118580</v>
      </c>
      <c r="V579" s="144">
        <v>43302</v>
      </c>
      <c r="W579" s="143">
        <v>24692.400000000001</v>
      </c>
    </row>
    <row r="580" spans="21:23">
      <c r="U580" s="144">
        <v>130438</v>
      </c>
      <c r="V580" s="144">
        <v>43302</v>
      </c>
      <c r="W580" s="143">
        <v>13579.9</v>
      </c>
    </row>
    <row r="581" spans="21:23">
      <c r="U581" s="144">
        <v>142297</v>
      </c>
      <c r="V581" s="144">
        <v>43302</v>
      </c>
      <c r="W581" s="143">
        <v>7576.25</v>
      </c>
    </row>
    <row r="582" spans="21:23">
      <c r="U582" s="144">
        <v>154155</v>
      </c>
      <c r="V582" s="144">
        <v>43302</v>
      </c>
      <c r="W582" s="143">
        <v>9043.33</v>
      </c>
    </row>
    <row r="583" spans="21:23">
      <c r="U583" s="144">
        <v>166013</v>
      </c>
      <c r="V583" s="144">
        <v>43302</v>
      </c>
      <c r="W583" s="143">
        <v>4257.46</v>
      </c>
    </row>
    <row r="584" spans="21:23">
      <c r="U584" s="144">
        <v>177871</v>
      </c>
      <c r="V584" s="144">
        <v>43302</v>
      </c>
      <c r="W584" s="143">
        <v>4185.7</v>
      </c>
    </row>
    <row r="585" spans="21:23">
      <c r="U585" s="144">
        <v>189729</v>
      </c>
      <c r="V585" s="144">
        <v>43302</v>
      </c>
      <c r="W585" s="143">
        <v>1466.09</v>
      </c>
    </row>
    <row r="586" spans="21:23">
      <c r="U586" s="144">
        <v>201587</v>
      </c>
      <c r="V586" s="144">
        <v>43302</v>
      </c>
      <c r="W586" s="143">
        <v>1598.85</v>
      </c>
    </row>
    <row r="587" spans="21:23">
      <c r="U587" s="144">
        <v>213445</v>
      </c>
      <c r="V587" s="144">
        <v>43302</v>
      </c>
      <c r="W587" s="143">
        <v>635.29999999999995</v>
      </c>
    </row>
    <row r="588" spans="21:23">
      <c r="U588" s="144">
        <v>225303</v>
      </c>
      <c r="V588" s="144">
        <v>43302</v>
      </c>
      <c r="W588" s="143">
        <v>423.92500000000001</v>
      </c>
    </row>
    <row r="589" spans="21:23">
      <c r="U589" s="144">
        <v>237161</v>
      </c>
      <c r="V589" s="144">
        <v>43302</v>
      </c>
      <c r="W589" s="143">
        <v>461.375</v>
      </c>
    </row>
    <row r="590" spans="21:23">
      <c r="U590" s="144">
        <v>249019</v>
      </c>
      <c r="V590" s="144">
        <v>43302</v>
      </c>
      <c r="W590" s="143">
        <v>222.34</v>
      </c>
    </row>
    <row r="591" spans="21:23">
      <c r="U591" s="144">
        <v>260877</v>
      </c>
      <c r="V591" s="144">
        <v>43302</v>
      </c>
      <c r="W591" s="143">
        <v>173.24</v>
      </c>
    </row>
    <row r="592" spans="21:23">
      <c r="U592" s="144">
        <v>272735</v>
      </c>
      <c r="V592" s="144">
        <v>43302</v>
      </c>
      <c r="W592" s="143">
        <v>119.495</v>
      </c>
    </row>
    <row r="593" spans="21:23">
      <c r="U593" s="144">
        <v>284593</v>
      </c>
      <c r="V593" s="144">
        <v>43302</v>
      </c>
      <c r="W593" s="143">
        <v>129.69499999999999</v>
      </c>
    </row>
    <row r="594" spans="21:23">
      <c r="U594" s="144">
        <v>296451</v>
      </c>
      <c r="V594" s="144">
        <v>43302</v>
      </c>
      <c r="W594" s="143">
        <v>90.89</v>
      </c>
    </row>
    <row r="595" spans="21:23">
      <c r="U595" s="144">
        <v>308309</v>
      </c>
      <c r="V595" s="144">
        <v>43302</v>
      </c>
      <c r="W595" s="143">
        <v>63.835000000000001</v>
      </c>
    </row>
    <row r="596" spans="21:23">
      <c r="U596" s="144">
        <v>320167</v>
      </c>
      <c r="V596" s="144">
        <v>43302</v>
      </c>
      <c r="W596" s="143">
        <v>72.715000000000003</v>
      </c>
    </row>
    <row r="597" spans="21:23">
      <c r="U597" s="144">
        <v>332025</v>
      </c>
      <c r="V597" s="144">
        <v>43302</v>
      </c>
      <c r="W597" s="143">
        <v>9.3249999999999993</v>
      </c>
    </row>
    <row r="598" spans="21:23">
      <c r="U598" s="144">
        <v>343883</v>
      </c>
      <c r="V598" s="144">
        <v>43302</v>
      </c>
      <c r="W598" s="143">
        <v>30.65</v>
      </c>
    </row>
    <row r="599" spans="21:23">
      <c r="U599" s="144">
        <v>355741</v>
      </c>
      <c r="V599" s="144">
        <v>43302</v>
      </c>
      <c r="W599" s="143">
        <v>1.9</v>
      </c>
    </row>
    <row r="600" spans="21:23">
      <c r="U600" s="144">
        <v>367599</v>
      </c>
      <c r="V600" s="144">
        <v>43302</v>
      </c>
      <c r="W600" s="143">
        <v>31.37</v>
      </c>
    </row>
    <row r="601" spans="21:23">
      <c r="U601" s="144">
        <v>379457</v>
      </c>
      <c r="V601" s="144">
        <v>43302</v>
      </c>
      <c r="W601" s="143">
        <v>1.61</v>
      </c>
    </row>
    <row r="602" spans="21:23">
      <c r="U602" s="144">
        <v>391315</v>
      </c>
      <c r="V602" s="144">
        <v>43302</v>
      </c>
      <c r="W602" s="143">
        <v>0.70499999999999996</v>
      </c>
    </row>
    <row r="603" spans="21:23">
      <c r="U603" s="144">
        <v>403173</v>
      </c>
      <c r="V603" s="144">
        <v>43302</v>
      </c>
      <c r="W603" s="143">
        <v>0.45500000000000002</v>
      </c>
    </row>
    <row r="604" spans="21:23">
      <c r="U604" s="144">
        <v>415031</v>
      </c>
      <c r="V604" s="144">
        <v>43302</v>
      </c>
      <c r="W604" s="143">
        <v>1.17</v>
      </c>
    </row>
    <row r="605" spans="21:23">
      <c r="U605" s="144">
        <v>426889</v>
      </c>
      <c r="V605" s="144">
        <v>43302</v>
      </c>
      <c r="W605" s="143">
        <v>0.245</v>
      </c>
    </row>
    <row r="606" spans="21:23">
      <c r="U606" s="144">
        <v>438747</v>
      </c>
      <c r="V606" s="144">
        <v>43302</v>
      </c>
      <c r="W606" s="143">
        <v>1.5549999999999999</v>
      </c>
    </row>
    <row r="607" spans="21:23">
      <c r="U607" s="144">
        <v>462464</v>
      </c>
      <c r="V607" s="144">
        <v>43302</v>
      </c>
      <c r="W607" s="143">
        <v>0.17499999999999999</v>
      </c>
    </row>
    <row r="608" spans="21:23">
      <c r="U608" s="144">
        <v>474322</v>
      </c>
      <c r="V608" s="144">
        <v>43302</v>
      </c>
      <c r="W608" s="143">
        <v>0.58499999999999996</v>
      </c>
    </row>
    <row r="609" spans="21:23">
      <c r="U609" s="144">
        <v>498038</v>
      </c>
      <c r="V609" s="144">
        <v>43302</v>
      </c>
      <c r="W609" s="143">
        <v>0.42</v>
      </c>
    </row>
    <row r="610" spans="21:23">
      <c r="U610" s="144">
        <v>509896</v>
      </c>
      <c r="V610" s="144">
        <v>43302</v>
      </c>
      <c r="W610" s="143">
        <v>0.20499999999999999</v>
      </c>
    </row>
    <row r="611" spans="21:23">
      <c r="U611" s="144">
        <v>4.3536999999999999E-2</v>
      </c>
      <c r="V611" s="144">
        <v>58787.8</v>
      </c>
      <c r="W611" s="143">
        <v>17719000</v>
      </c>
    </row>
    <row r="612" spans="21:23">
      <c r="U612" s="144">
        <v>11858.1</v>
      </c>
      <c r="V612" s="144">
        <v>58787.8</v>
      </c>
      <c r="W612" s="143">
        <v>1303480</v>
      </c>
    </row>
    <row r="613" spans="21:23">
      <c r="U613" s="144">
        <v>23716.1</v>
      </c>
      <c r="V613" s="144">
        <v>58787.8</v>
      </c>
      <c r="W613" s="143">
        <v>1067220</v>
      </c>
    </row>
    <row r="614" spans="21:23">
      <c r="U614" s="144">
        <v>35574.199999999997</v>
      </c>
      <c r="V614" s="144">
        <v>58787.8</v>
      </c>
      <c r="W614" s="143">
        <v>618539</v>
      </c>
    </row>
    <row r="615" spans="21:23">
      <c r="U615" s="144">
        <v>47432.2</v>
      </c>
      <c r="V615" s="144">
        <v>58787.8</v>
      </c>
      <c r="W615" s="143">
        <v>323840</v>
      </c>
    </row>
    <row r="616" spans="21:23">
      <c r="U616" s="144">
        <v>59290.2</v>
      </c>
      <c r="V616" s="144">
        <v>58787.8</v>
      </c>
      <c r="W616" s="143">
        <v>131676</v>
      </c>
    </row>
    <row r="617" spans="21:23">
      <c r="U617" s="144">
        <v>71148.3</v>
      </c>
      <c r="V617" s="144">
        <v>58787.8</v>
      </c>
      <c r="W617" s="143">
        <v>58616.7</v>
      </c>
    </row>
    <row r="618" spans="21:23">
      <c r="U618" s="144">
        <v>83006.3</v>
      </c>
      <c r="V618" s="144">
        <v>58787.8</v>
      </c>
      <c r="W618" s="143">
        <v>26015</v>
      </c>
    </row>
    <row r="619" spans="21:23">
      <c r="U619" s="144">
        <v>94864.4</v>
      </c>
      <c r="V619" s="144">
        <v>58787.8</v>
      </c>
      <c r="W619" s="143">
        <v>18913.2</v>
      </c>
    </row>
    <row r="620" spans="21:23">
      <c r="U620" s="144">
        <v>106722</v>
      </c>
      <c r="V620" s="144">
        <v>58787.8</v>
      </c>
      <c r="W620" s="143">
        <v>8141.68</v>
      </c>
    </row>
    <row r="621" spans="21:23">
      <c r="U621" s="144">
        <v>118580</v>
      </c>
      <c r="V621" s="144">
        <v>58787.8</v>
      </c>
      <c r="W621" s="143">
        <v>7132.72</v>
      </c>
    </row>
    <row r="622" spans="21:23">
      <c r="U622" s="144">
        <v>130438</v>
      </c>
      <c r="V622" s="144">
        <v>58787.8</v>
      </c>
      <c r="W622" s="143">
        <v>3227.56</v>
      </c>
    </row>
    <row r="623" spans="21:23">
      <c r="U623" s="144">
        <v>142297</v>
      </c>
      <c r="V623" s="144">
        <v>58787.8</v>
      </c>
      <c r="W623" s="143">
        <v>2514.69</v>
      </c>
    </row>
    <row r="624" spans="21:23">
      <c r="U624" s="144">
        <v>154155</v>
      </c>
      <c r="V624" s="144">
        <v>58787.8</v>
      </c>
      <c r="W624" s="143">
        <v>748.76499999999999</v>
      </c>
    </row>
    <row r="625" spans="21:23">
      <c r="U625" s="144">
        <v>166013</v>
      </c>
      <c r="V625" s="144">
        <v>58787.8</v>
      </c>
      <c r="W625" s="143">
        <v>332.83</v>
      </c>
    </row>
    <row r="626" spans="21:23">
      <c r="U626" s="144">
        <v>177871</v>
      </c>
      <c r="V626" s="144">
        <v>58787.8</v>
      </c>
      <c r="W626" s="143">
        <v>453.755</v>
      </c>
    </row>
    <row r="627" spans="21:23">
      <c r="U627" s="144">
        <v>189729</v>
      </c>
      <c r="V627" s="144">
        <v>58787.8</v>
      </c>
      <c r="W627" s="143">
        <v>111.045</v>
      </c>
    </row>
    <row r="628" spans="21:23">
      <c r="U628" s="144">
        <v>201587</v>
      </c>
      <c r="V628" s="144">
        <v>58787.8</v>
      </c>
      <c r="W628" s="143">
        <v>70.28</v>
      </c>
    </row>
    <row r="629" spans="21:23">
      <c r="U629" s="144">
        <v>213445</v>
      </c>
      <c r="V629" s="144">
        <v>58787.8</v>
      </c>
      <c r="W629" s="143">
        <v>9.7750000000000004</v>
      </c>
    </row>
    <row r="630" spans="21:23">
      <c r="U630" s="144">
        <v>225303</v>
      </c>
      <c r="V630" s="144">
        <v>58787.8</v>
      </c>
      <c r="W630" s="143">
        <v>17.114999999999998</v>
      </c>
    </row>
    <row r="631" spans="21:23">
      <c r="U631" s="144">
        <v>237161</v>
      </c>
      <c r="V631" s="144">
        <v>58787.8</v>
      </c>
      <c r="W631" s="143">
        <v>2.7749999999999999</v>
      </c>
    </row>
    <row r="632" spans="21:23">
      <c r="U632" s="144">
        <v>249019</v>
      </c>
      <c r="V632" s="144">
        <v>58787.8</v>
      </c>
      <c r="W632" s="143">
        <v>1.1950000000000001</v>
      </c>
    </row>
    <row r="633" spans="21:23">
      <c r="U633" s="144">
        <v>260877</v>
      </c>
      <c r="V633" s="144">
        <v>58787.8</v>
      </c>
      <c r="W633" s="143">
        <v>0.48499999999999999</v>
      </c>
    </row>
    <row r="634" spans="21:23">
      <c r="U634" s="144">
        <v>272735</v>
      </c>
      <c r="V634" s="144">
        <v>58787.8</v>
      </c>
      <c r="W634" s="143">
        <v>0.9</v>
      </c>
    </row>
    <row r="635" spans="21:23">
      <c r="U635" s="144">
        <v>284593</v>
      </c>
      <c r="V635" s="144">
        <v>58787.8</v>
      </c>
      <c r="W635" s="143">
        <v>3.5449999999999999</v>
      </c>
    </row>
    <row r="636" spans="21:23">
      <c r="U636" s="144">
        <v>296451</v>
      </c>
      <c r="V636" s="144">
        <v>58787.8</v>
      </c>
      <c r="W636" s="143">
        <v>4.38</v>
      </c>
    </row>
    <row r="637" spans="21:23">
      <c r="U637" s="144">
        <v>308309</v>
      </c>
      <c r="V637" s="144">
        <v>58787.8</v>
      </c>
      <c r="W637" s="143">
        <v>0.60499999999999998</v>
      </c>
    </row>
    <row r="638" spans="21:23">
      <c r="U638" s="144">
        <v>320167</v>
      </c>
      <c r="V638" s="144">
        <v>58787.8</v>
      </c>
      <c r="W638" s="143">
        <v>0.17499999999999999</v>
      </c>
    </row>
    <row r="639" spans="21:23">
      <c r="U639" s="144">
        <v>332025</v>
      </c>
      <c r="V639" s="144">
        <v>58787.8</v>
      </c>
      <c r="W639" s="143">
        <v>53.125</v>
      </c>
    </row>
    <row r="640" spans="21:23">
      <c r="U640" s="144">
        <v>343883</v>
      </c>
      <c r="V640" s="144">
        <v>58787.8</v>
      </c>
      <c r="W640" s="143">
        <v>0.83499999999999996</v>
      </c>
    </row>
    <row r="641" spans="21:23">
      <c r="U641" s="144">
        <v>391315</v>
      </c>
      <c r="V641" s="144">
        <v>58787.8</v>
      </c>
      <c r="W641" s="143">
        <v>0.02</v>
      </c>
    </row>
    <row r="642" spans="21:23">
      <c r="U642" s="144">
        <v>4.3536999999999999E-2</v>
      </c>
      <c r="V642" s="144">
        <v>74273.600000000006</v>
      </c>
      <c r="W642" s="143">
        <v>18839000</v>
      </c>
    </row>
    <row r="643" spans="21:23">
      <c r="U643" s="144">
        <v>11858.1</v>
      </c>
      <c r="V643" s="144">
        <v>74273.600000000006</v>
      </c>
      <c r="W643" s="143">
        <v>1439970</v>
      </c>
    </row>
    <row r="644" spans="21:23">
      <c r="U644" s="144">
        <v>23716.1</v>
      </c>
      <c r="V644" s="144">
        <v>74273.600000000006</v>
      </c>
      <c r="W644" s="143">
        <v>1150950</v>
      </c>
    </row>
    <row r="645" spans="21:23">
      <c r="U645" s="144">
        <v>35574.199999999997</v>
      </c>
      <c r="V645" s="144">
        <v>74273.600000000006</v>
      </c>
      <c r="W645" s="143">
        <v>664681</v>
      </c>
    </row>
    <row r="646" spans="21:23">
      <c r="U646" s="144">
        <v>47432.2</v>
      </c>
      <c r="V646" s="144">
        <v>74273.600000000006</v>
      </c>
      <c r="W646" s="143">
        <v>295142</v>
      </c>
    </row>
    <row r="647" spans="21:23">
      <c r="U647" s="144">
        <v>59290.2</v>
      </c>
      <c r="V647" s="144">
        <v>74273.600000000006</v>
      </c>
      <c r="W647" s="143">
        <v>151372</v>
      </c>
    </row>
    <row r="648" spans="21:23">
      <c r="U648" s="144">
        <v>71148.3</v>
      </c>
      <c r="V648" s="144">
        <v>74273.600000000006</v>
      </c>
      <c r="W648" s="143">
        <v>82379</v>
      </c>
    </row>
    <row r="649" spans="21:23">
      <c r="U649" s="144">
        <v>83006.3</v>
      </c>
      <c r="V649" s="144">
        <v>74273.600000000006</v>
      </c>
      <c r="W649" s="143">
        <v>48699.8</v>
      </c>
    </row>
    <row r="650" spans="21:23">
      <c r="U650" s="144">
        <v>94864.4</v>
      </c>
      <c r="V650" s="144">
        <v>74273.600000000006</v>
      </c>
      <c r="W650" s="143">
        <v>27547.9</v>
      </c>
    </row>
    <row r="651" spans="21:23">
      <c r="U651" s="144">
        <v>106722</v>
      </c>
      <c r="V651" s="144">
        <v>74273.600000000006</v>
      </c>
      <c r="W651" s="143">
        <v>11930.9</v>
      </c>
    </row>
    <row r="652" spans="21:23">
      <c r="U652" s="144">
        <v>118580</v>
      </c>
      <c r="V652" s="144">
        <v>74273.600000000006</v>
      </c>
      <c r="W652" s="143">
        <v>9442.19</v>
      </c>
    </row>
    <row r="653" spans="21:23">
      <c r="U653" s="144">
        <v>130438</v>
      </c>
      <c r="V653" s="144">
        <v>74273.600000000006</v>
      </c>
      <c r="W653" s="143">
        <v>4977.8500000000004</v>
      </c>
    </row>
    <row r="654" spans="21:23">
      <c r="U654" s="144">
        <v>142297</v>
      </c>
      <c r="V654" s="144">
        <v>74273.600000000006</v>
      </c>
      <c r="W654" s="143">
        <v>3300.7</v>
      </c>
    </row>
    <row r="655" spans="21:23">
      <c r="U655" s="144">
        <v>154155</v>
      </c>
      <c r="V655" s="144">
        <v>74273.600000000006</v>
      </c>
      <c r="W655" s="143">
        <v>3524.82</v>
      </c>
    </row>
    <row r="656" spans="21:23">
      <c r="U656" s="144">
        <v>166013</v>
      </c>
      <c r="V656" s="144">
        <v>74273.600000000006</v>
      </c>
      <c r="W656" s="143">
        <v>1540.19</v>
      </c>
    </row>
    <row r="657" spans="21:23">
      <c r="U657" s="144">
        <v>177871</v>
      </c>
      <c r="V657" s="144">
        <v>74273.600000000006</v>
      </c>
      <c r="W657" s="143">
        <v>562.35500000000002</v>
      </c>
    </row>
    <row r="658" spans="21:23">
      <c r="U658" s="144">
        <v>189729</v>
      </c>
      <c r="V658" s="144">
        <v>74273.600000000006</v>
      </c>
      <c r="W658" s="143">
        <v>405.64499999999998</v>
      </c>
    </row>
    <row r="659" spans="21:23">
      <c r="U659" s="144">
        <v>201587</v>
      </c>
      <c r="V659" s="144">
        <v>74273.600000000006</v>
      </c>
      <c r="W659" s="143">
        <v>250.285</v>
      </c>
    </row>
    <row r="660" spans="21:23">
      <c r="U660" s="144">
        <v>213445</v>
      </c>
      <c r="V660" s="144">
        <v>74273.600000000006</v>
      </c>
      <c r="W660" s="143">
        <v>107.47499999999999</v>
      </c>
    </row>
    <row r="661" spans="21:23">
      <c r="U661" s="144">
        <v>225303</v>
      </c>
      <c r="V661" s="144">
        <v>74273.600000000006</v>
      </c>
      <c r="W661" s="143">
        <v>21.085000000000001</v>
      </c>
    </row>
    <row r="662" spans="21:23">
      <c r="U662" s="144">
        <v>237161</v>
      </c>
      <c r="V662" s="144">
        <v>74273.600000000006</v>
      </c>
      <c r="W662" s="143">
        <v>12.585000000000001</v>
      </c>
    </row>
    <row r="663" spans="21:23">
      <c r="U663" s="144">
        <v>249019</v>
      </c>
      <c r="V663" s="144">
        <v>74273.600000000006</v>
      </c>
      <c r="W663" s="143">
        <v>16.190000000000001</v>
      </c>
    </row>
    <row r="664" spans="21:23">
      <c r="U664" s="144">
        <v>260877</v>
      </c>
      <c r="V664" s="144">
        <v>74273.600000000006</v>
      </c>
      <c r="W664" s="143">
        <v>9.85</v>
      </c>
    </row>
    <row r="665" spans="21:23">
      <c r="U665" s="144">
        <v>272735</v>
      </c>
      <c r="V665" s="144">
        <v>74273.600000000006</v>
      </c>
      <c r="W665" s="143">
        <v>1.7250000000000001</v>
      </c>
    </row>
    <row r="666" spans="21:23">
      <c r="U666" s="144">
        <v>284593</v>
      </c>
      <c r="V666" s="144">
        <v>74273.600000000006</v>
      </c>
      <c r="W666" s="143">
        <v>11.46</v>
      </c>
    </row>
    <row r="667" spans="21:23">
      <c r="U667" s="144">
        <v>296451</v>
      </c>
      <c r="V667" s="144">
        <v>74273.600000000006</v>
      </c>
      <c r="W667" s="143">
        <v>45.72</v>
      </c>
    </row>
    <row r="668" spans="21:23">
      <c r="U668" s="144">
        <v>308309</v>
      </c>
      <c r="V668" s="144">
        <v>74273.600000000006</v>
      </c>
      <c r="W668" s="143">
        <v>5.43</v>
      </c>
    </row>
    <row r="669" spans="21:23">
      <c r="U669" s="144">
        <v>355741</v>
      </c>
      <c r="V669" s="144">
        <v>74273.600000000006</v>
      </c>
      <c r="W669" s="143">
        <v>39.064999999999998</v>
      </c>
    </row>
    <row r="670" spans="21:23">
      <c r="U670" s="144">
        <v>4.3536999999999999E-2</v>
      </c>
      <c r="V670" s="144">
        <v>89759.5</v>
      </c>
      <c r="W670" s="143">
        <v>21819200</v>
      </c>
    </row>
    <row r="671" spans="21:23">
      <c r="U671" s="144">
        <v>11858.1</v>
      </c>
      <c r="V671" s="144">
        <v>89759.5</v>
      </c>
      <c r="W671" s="143">
        <v>1747680</v>
      </c>
    </row>
    <row r="672" spans="21:23">
      <c r="U672" s="144">
        <v>23716.1</v>
      </c>
      <c r="V672" s="144">
        <v>89759.5</v>
      </c>
      <c r="W672" s="143">
        <v>1242460</v>
      </c>
    </row>
    <row r="673" spans="21:23">
      <c r="U673" s="144">
        <v>35574.199999999997</v>
      </c>
      <c r="V673" s="144">
        <v>89759.5</v>
      </c>
      <c r="W673" s="143">
        <v>809088</v>
      </c>
    </row>
    <row r="674" spans="21:23">
      <c r="U674" s="144">
        <v>47432.2</v>
      </c>
      <c r="V674" s="144">
        <v>89759.5</v>
      </c>
      <c r="W674" s="143">
        <v>499250</v>
      </c>
    </row>
    <row r="675" spans="21:23">
      <c r="U675" s="144">
        <v>59290.2</v>
      </c>
      <c r="V675" s="144">
        <v>89759.5</v>
      </c>
      <c r="W675" s="143">
        <v>305313</v>
      </c>
    </row>
    <row r="676" spans="21:23">
      <c r="U676" s="144">
        <v>71148.3</v>
      </c>
      <c r="V676" s="144">
        <v>89759.5</v>
      </c>
      <c r="W676" s="143">
        <v>155676</v>
      </c>
    </row>
    <row r="677" spans="21:23">
      <c r="U677" s="144">
        <v>83006.3</v>
      </c>
      <c r="V677" s="144">
        <v>89759.5</v>
      </c>
      <c r="W677" s="143">
        <v>86793.2</v>
      </c>
    </row>
    <row r="678" spans="21:23">
      <c r="U678" s="144">
        <v>94864.4</v>
      </c>
      <c r="V678" s="144">
        <v>89759.5</v>
      </c>
      <c r="W678" s="143">
        <v>55522.9</v>
      </c>
    </row>
    <row r="679" spans="21:23">
      <c r="U679" s="144">
        <v>106722</v>
      </c>
      <c r="V679" s="144">
        <v>89759.5</v>
      </c>
      <c r="W679" s="143">
        <v>31642</v>
      </c>
    </row>
    <row r="680" spans="21:23">
      <c r="U680" s="144">
        <v>118580</v>
      </c>
      <c r="V680" s="144">
        <v>89759.5</v>
      </c>
      <c r="W680" s="143">
        <v>17311.599999999999</v>
      </c>
    </row>
    <row r="681" spans="21:23">
      <c r="U681" s="144">
        <v>130438</v>
      </c>
      <c r="V681" s="144">
        <v>89759.5</v>
      </c>
      <c r="W681" s="143">
        <v>10248.799999999999</v>
      </c>
    </row>
    <row r="682" spans="21:23">
      <c r="U682" s="144">
        <v>142297</v>
      </c>
      <c r="V682" s="144">
        <v>89759.5</v>
      </c>
      <c r="W682" s="143">
        <v>7221.55</v>
      </c>
    </row>
    <row r="683" spans="21:23">
      <c r="U683" s="144">
        <v>154155</v>
      </c>
      <c r="V683" s="144">
        <v>89759.5</v>
      </c>
      <c r="W683" s="143">
        <v>3382.89</v>
      </c>
    </row>
    <row r="684" spans="21:23">
      <c r="U684" s="144">
        <v>166013</v>
      </c>
      <c r="V684" s="144">
        <v>89759.5</v>
      </c>
      <c r="W684" s="143">
        <v>1626.96</v>
      </c>
    </row>
    <row r="685" spans="21:23">
      <c r="U685" s="144">
        <v>177871</v>
      </c>
      <c r="V685" s="144">
        <v>89759.5</v>
      </c>
      <c r="W685" s="143">
        <v>479.51499999999999</v>
      </c>
    </row>
    <row r="686" spans="21:23">
      <c r="U686" s="144">
        <v>189729</v>
      </c>
      <c r="V686" s="144">
        <v>89759.5</v>
      </c>
      <c r="W686" s="143">
        <v>395.59</v>
      </c>
    </row>
    <row r="687" spans="21:23">
      <c r="U687" s="144">
        <v>201587</v>
      </c>
      <c r="V687" s="144">
        <v>89759.5</v>
      </c>
      <c r="W687" s="143">
        <v>91.424999999999997</v>
      </c>
    </row>
    <row r="688" spans="21:23">
      <c r="U688" s="144">
        <v>213445</v>
      </c>
      <c r="V688" s="144">
        <v>89759.5</v>
      </c>
      <c r="W688" s="143">
        <v>103.565</v>
      </c>
    </row>
    <row r="689" spans="21:23">
      <c r="U689" s="144">
        <v>225303</v>
      </c>
      <c r="V689" s="144">
        <v>89759.5</v>
      </c>
      <c r="W689" s="143">
        <v>30.795000000000002</v>
      </c>
    </row>
    <row r="690" spans="21:23">
      <c r="U690" s="144">
        <v>237161</v>
      </c>
      <c r="V690" s="144">
        <v>89759.5</v>
      </c>
      <c r="W690" s="143">
        <v>23.34</v>
      </c>
    </row>
    <row r="691" spans="21:23">
      <c r="U691" s="144">
        <v>249019</v>
      </c>
      <c r="V691" s="144">
        <v>89759.5</v>
      </c>
      <c r="W691" s="143">
        <v>7.55</v>
      </c>
    </row>
    <row r="692" spans="21:23">
      <c r="U692" s="144">
        <v>260877</v>
      </c>
      <c r="V692" s="144">
        <v>89759.5</v>
      </c>
      <c r="W692" s="143">
        <v>2.64</v>
      </c>
    </row>
    <row r="693" spans="21:23">
      <c r="U693" s="144">
        <v>272735</v>
      </c>
      <c r="V693" s="144">
        <v>89759.5</v>
      </c>
      <c r="W693" s="143">
        <v>0.73</v>
      </c>
    </row>
    <row r="694" spans="21:23">
      <c r="U694" s="144">
        <v>284593</v>
      </c>
      <c r="V694" s="144">
        <v>89759.5</v>
      </c>
      <c r="W694" s="143">
        <v>2.96</v>
      </c>
    </row>
    <row r="695" spans="21:23">
      <c r="U695" s="144">
        <v>296451</v>
      </c>
      <c r="V695" s="144">
        <v>89759.5</v>
      </c>
      <c r="W695" s="143">
        <v>0.155</v>
      </c>
    </row>
    <row r="696" spans="21:23">
      <c r="U696" s="144">
        <v>308309</v>
      </c>
      <c r="V696" s="144">
        <v>89759.5</v>
      </c>
      <c r="W696" s="143">
        <v>0.11</v>
      </c>
    </row>
    <row r="697" spans="21:23">
      <c r="U697" s="144">
        <v>320167</v>
      </c>
      <c r="V697" s="144">
        <v>89759.5</v>
      </c>
      <c r="W697" s="143">
        <v>68.435000000000002</v>
      </c>
    </row>
    <row r="698" spans="21:23">
      <c r="U698" s="144">
        <v>332025</v>
      </c>
      <c r="V698" s="144">
        <v>89759.5</v>
      </c>
      <c r="W698" s="143">
        <v>3.9049999999999998</v>
      </c>
    </row>
    <row r="699" spans="21:23">
      <c r="U699" s="144">
        <v>343883</v>
      </c>
      <c r="V699" s="144">
        <v>89759.5</v>
      </c>
      <c r="W699" s="143">
        <v>7.8150000000000004</v>
      </c>
    </row>
    <row r="700" spans="21:23">
      <c r="U700" s="144">
        <v>367599</v>
      </c>
      <c r="V700" s="144">
        <v>89759.5</v>
      </c>
      <c r="W700" s="143">
        <v>48.83</v>
      </c>
    </row>
    <row r="701" spans="21:23">
      <c r="U701" s="144">
        <v>4.3536999999999999E-2</v>
      </c>
      <c r="V701" s="144">
        <v>105245</v>
      </c>
      <c r="W701" s="143">
        <v>20514200</v>
      </c>
    </row>
    <row r="702" spans="21:23">
      <c r="U702" s="144">
        <v>11858.1</v>
      </c>
      <c r="V702" s="144">
        <v>105245</v>
      </c>
      <c r="W702" s="143">
        <v>1519210</v>
      </c>
    </row>
    <row r="703" spans="21:23">
      <c r="U703" s="144">
        <v>23716.1</v>
      </c>
      <c r="V703" s="144">
        <v>105245</v>
      </c>
      <c r="W703" s="143">
        <v>1055420</v>
      </c>
    </row>
    <row r="704" spans="21:23">
      <c r="U704" s="144">
        <v>35574.199999999997</v>
      </c>
      <c r="V704" s="144">
        <v>105245</v>
      </c>
      <c r="W704" s="143">
        <v>783859</v>
      </c>
    </row>
    <row r="705" spans="21:23">
      <c r="U705" s="144">
        <v>47432.2</v>
      </c>
      <c r="V705" s="144">
        <v>105245</v>
      </c>
      <c r="W705" s="143">
        <v>507570</v>
      </c>
    </row>
    <row r="706" spans="21:23">
      <c r="U706" s="144">
        <v>59290.2</v>
      </c>
      <c r="V706" s="144">
        <v>105245</v>
      </c>
      <c r="W706" s="143">
        <v>266925</v>
      </c>
    </row>
    <row r="707" spans="21:23">
      <c r="U707" s="144">
        <v>71148.3</v>
      </c>
      <c r="V707" s="144">
        <v>105245</v>
      </c>
      <c r="W707" s="143">
        <v>169415</v>
      </c>
    </row>
    <row r="708" spans="21:23">
      <c r="U708" s="144">
        <v>83006.3</v>
      </c>
      <c r="V708" s="144">
        <v>105245</v>
      </c>
      <c r="W708" s="143">
        <v>93909.2</v>
      </c>
    </row>
    <row r="709" spans="21:23">
      <c r="U709" s="144">
        <v>94864.4</v>
      </c>
      <c r="V709" s="144">
        <v>105245</v>
      </c>
      <c r="W709" s="143">
        <v>61225.1</v>
      </c>
    </row>
    <row r="710" spans="21:23">
      <c r="U710" s="144">
        <v>106722</v>
      </c>
      <c r="V710" s="144">
        <v>105245</v>
      </c>
      <c r="W710" s="143">
        <v>34595.5</v>
      </c>
    </row>
    <row r="711" spans="21:23">
      <c r="U711" s="144">
        <v>118580</v>
      </c>
      <c r="V711" s="144">
        <v>105245</v>
      </c>
      <c r="W711" s="143">
        <v>18303.099999999999</v>
      </c>
    </row>
    <row r="712" spans="21:23">
      <c r="U712" s="144">
        <v>130438</v>
      </c>
      <c r="V712" s="144">
        <v>105245</v>
      </c>
      <c r="W712" s="143">
        <v>7136.52</v>
      </c>
    </row>
    <row r="713" spans="21:23">
      <c r="U713" s="144">
        <v>142297</v>
      </c>
      <c r="V713" s="144">
        <v>105245</v>
      </c>
      <c r="W713" s="143">
        <v>5290.6</v>
      </c>
    </row>
    <row r="714" spans="21:23">
      <c r="U714" s="144">
        <v>154155</v>
      </c>
      <c r="V714" s="144">
        <v>105245</v>
      </c>
      <c r="W714" s="143">
        <v>2376.59</v>
      </c>
    </row>
    <row r="715" spans="21:23">
      <c r="U715" s="144">
        <v>166013</v>
      </c>
      <c r="V715" s="144">
        <v>105245</v>
      </c>
      <c r="W715" s="143">
        <v>713.91</v>
      </c>
    </row>
    <row r="716" spans="21:23">
      <c r="U716" s="144">
        <v>177871</v>
      </c>
      <c r="V716" s="144">
        <v>105245</v>
      </c>
      <c r="W716" s="143">
        <v>315.625</v>
      </c>
    </row>
    <row r="717" spans="21:23">
      <c r="U717" s="144">
        <v>189729</v>
      </c>
      <c r="V717" s="144">
        <v>105245</v>
      </c>
      <c r="W717" s="143">
        <v>249.69499999999999</v>
      </c>
    </row>
    <row r="718" spans="21:23">
      <c r="U718" s="144">
        <v>201587</v>
      </c>
      <c r="V718" s="144">
        <v>105245</v>
      </c>
      <c r="W718" s="143">
        <v>171.98</v>
      </c>
    </row>
    <row r="719" spans="21:23">
      <c r="U719" s="144">
        <v>213445</v>
      </c>
      <c r="V719" s="144">
        <v>105245</v>
      </c>
      <c r="W719" s="143">
        <v>32.270000000000003</v>
      </c>
    </row>
    <row r="720" spans="21:23">
      <c r="U720" s="144">
        <v>225303</v>
      </c>
      <c r="V720" s="144">
        <v>105245</v>
      </c>
      <c r="W720" s="143">
        <v>16.975000000000001</v>
      </c>
    </row>
    <row r="721" spans="21:23">
      <c r="U721" s="144">
        <v>237161</v>
      </c>
      <c r="V721" s="144">
        <v>105245</v>
      </c>
      <c r="W721" s="143">
        <v>4.79</v>
      </c>
    </row>
    <row r="722" spans="21:23">
      <c r="U722" s="144">
        <v>249019</v>
      </c>
      <c r="V722" s="144">
        <v>105245</v>
      </c>
      <c r="W722" s="143">
        <v>5.2350000000000003</v>
      </c>
    </row>
    <row r="723" spans="21:23">
      <c r="U723" s="144">
        <v>260877</v>
      </c>
      <c r="V723" s="144">
        <v>105245</v>
      </c>
      <c r="W723" s="143">
        <v>3.09</v>
      </c>
    </row>
    <row r="724" spans="21:23">
      <c r="U724" s="144">
        <v>272735</v>
      </c>
      <c r="V724" s="144">
        <v>105245</v>
      </c>
      <c r="W724" s="143">
        <v>0.34499999999999997</v>
      </c>
    </row>
    <row r="725" spans="21:23">
      <c r="U725" s="144">
        <v>284593</v>
      </c>
      <c r="V725" s="144">
        <v>105245</v>
      </c>
      <c r="W725" s="143">
        <v>4.4999999999999998E-2</v>
      </c>
    </row>
    <row r="726" spans="21:23">
      <c r="U726" s="144">
        <v>296451</v>
      </c>
      <c r="V726" s="144">
        <v>105245</v>
      </c>
      <c r="W726" s="143">
        <v>0.02</v>
      </c>
    </row>
    <row r="727" spans="21:23">
      <c r="U727" s="144">
        <v>320167</v>
      </c>
      <c r="V727" s="144">
        <v>105245</v>
      </c>
      <c r="W727" s="143">
        <v>4.4999999999999998E-2</v>
      </c>
    </row>
    <row r="728" spans="21:23">
      <c r="U728" s="144">
        <v>332025</v>
      </c>
      <c r="V728" s="144">
        <v>105245</v>
      </c>
      <c r="W728" s="143">
        <v>0.67</v>
      </c>
    </row>
    <row r="729" spans="21:23">
      <c r="U729" s="144">
        <v>4.3536999999999999E-2</v>
      </c>
      <c r="V729" s="144">
        <v>120731</v>
      </c>
      <c r="W729" s="143">
        <v>21151600</v>
      </c>
    </row>
    <row r="730" spans="21:23">
      <c r="U730" s="144">
        <v>11858.1</v>
      </c>
      <c r="V730" s="144">
        <v>120731</v>
      </c>
      <c r="W730" s="143">
        <v>1752590</v>
      </c>
    </row>
    <row r="731" spans="21:23">
      <c r="U731" s="144">
        <v>23716.1</v>
      </c>
      <c r="V731" s="144">
        <v>120731</v>
      </c>
      <c r="W731" s="143">
        <v>1027110</v>
      </c>
    </row>
    <row r="732" spans="21:23">
      <c r="U732" s="144">
        <v>35574.199999999997</v>
      </c>
      <c r="V732" s="144">
        <v>120731</v>
      </c>
      <c r="W732" s="143">
        <v>801026</v>
      </c>
    </row>
    <row r="733" spans="21:23">
      <c r="U733" s="144">
        <v>47432.2</v>
      </c>
      <c r="V733" s="144">
        <v>120731</v>
      </c>
      <c r="W733" s="143">
        <v>491851</v>
      </c>
    </row>
    <row r="734" spans="21:23">
      <c r="U734" s="144">
        <v>59290.2</v>
      </c>
      <c r="V734" s="144">
        <v>120731</v>
      </c>
      <c r="W734" s="143">
        <v>348319</v>
      </c>
    </row>
    <row r="735" spans="21:23">
      <c r="U735" s="144">
        <v>71148.3</v>
      </c>
      <c r="V735" s="144">
        <v>120731</v>
      </c>
      <c r="W735" s="143">
        <v>185536</v>
      </c>
    </row>
    <row r="736" spans="21:23">
      <c r="U736" s="144">
        <v>83006.3</v>
      </c>
      <c r="V736" s="144">
        <v>120731</v>
      </c>
      <c r="W736" s="143">
        <v>111908</v>
      </c>
    </row>
    <row r="737" spans="21:23">
      <c r="U737" s="144">
        <v>94864.4</v>
      </c>
      <c r="V737" s="144">
        <v>120731</v>
      </c>
      <c r="W737" s="143">
        <v>59672.4</v>
      </c>
    </row>
    <row r="738" spans="21:23">
      <c r="U738" s="144">
        <v>106722</v>
      </c>
      <c r="V738" s="144">
        <v>120731</v>
      </c>
      <c r="W738" s="143">
        <v>45886.7</v>
      </c>
    </row>
    <row r="739" spans="21:23">
      <c r="U739" s="144">
        <v>118580</v>
      </c>
      <c r="V739" s="144">
        <v>120731</v>
      </c>
      <c r="W739" s="143">
        <v>19126</v>
      </c>
    </row>
    <row r="740" spans="21:23">
      <c r="U740" s="144">
        <v>130438</v>
      </c>
      <c r="V740" s="144">
        <v>120731</v>
      </c>
      <c r="W740" s="143">
        <v>11897.8</v>
      </c>
    </row>
    <row r="741" spans="21:23">
      <c r="U741" s="144">
        <v>142297</v>
      </c>
      <c r="V741" s="144">
        <v>120731</v>
      </c>
      <c r="W741" s="143">
        <v>5562.46</v>
      </c>
    </row>
    <row r="742" spans="21:23">
      <c r="U742" s="144">
        <v>154155</v>
      </c>
      <c r="V742" s="144">
        <v>120731</v>
      </c>
      <c r="W742" s="143">
        <v>2448.23</v>
      </c>
    </row>
    <row r="743" spans="21:23">
      <c r="U743" s="144">
        <v>166013</v>
      </c>
      <c r="V743" s="144">
        <v>120731</v>
      </c>
      <c r="W743" s="143">
        <v>1420.3</v>
      </c>
    </row>
    <row r="744" spans="21:23">
      <c r="U744" s="144">
        <v>177871</v>
      </c>
      <c r="V744" s="144">
        <v>120731</v>
      </c>
      <c r="W744" s="143">
        <v>515.65499999999997</v>
      </c>
    </row>
    <row r="745" spans="21:23">
      <c r="U745" s="144">
        <v>189729</v>
      </c>
      <c r="V745" s="144">
        <v>120731</v>
      </c>
      <c r="W745" s="143">
        <v>142.29</v>
      </c>
    </row>
    <row r="746" spans="21:23">
      <c r="U746" s="144">
        <v>201587</v>
      </c>
      <c r="V746" s="144">
        <v>120731</v>
      </c>
      <c r="W746" s="143">
        <v>37.049999999999997</v>
      </c>
    </row>
    <row r="747" spans="21:23">
      <c r="U747" s="144">
        <v>213445</v>
      </c>
      <c r="V747" s="144">
        <v>120731</v>
      </c>
      <c r="W747" s="143">
        <v>13.24</v>
      </c>
    </row>
    <row r="748" spans="21:23">
      <c r="U748" s="144">
        <v>225303</v>
      </c>
      <c r="V748" s="144">
        <v>120731</v>
      </c>
      <c r="W748" s="143">
        <v>6.7149999999999999</v>
      </c>
    </row>
    <row r="749" spans="21:23">
      <c r="U749" s="144">
        <v>237161</v>
      </c>
      <c r="V749" s="144">
        <v>120731</v>
      </c>
      <c r="W749" s="143">
        <v>4.9550000000000001</v>
      </c>
    </row>
    <row r="750" spans="21:23">
      <c r="U750" s="144">
        <v>249019</v>
      </c>
      <c r="V750" s="144">
        <v>120731</v>
      </c>
      <c r="W750" s="143">
        <v>9.17</v>
      </c>
    </row>
    <row r="751" spans="21:23">
      <c r="U751" s="144">
        <v>260877</v>
      </c>
      <c r="V751" s="144">
        <v>120731</v>
      </c>
      <c r="W751" s="143">
        <v>1.9350000000000001</v>
      </c>
    </row>
    <row r="752" spans="21:23">
      <c r="U752" s="144">
        <v>272735</v>
      </c>
      <c r="V752" s="144">
        <v>120731</v>
      </c>
      <c r="W752" s="143">
        <v>0.28499999999999998</v>
      </c>
    </row>
    <row r="753" spans="21:23">
      <c r="U753" s="144">
        <v>284593</v>
      </c>
      <c r="V753" s="144">
        <v>120731</v>
      </c>
      <c r="W753" s="143">
        <v>0.155</v>
      </c>
    </row>
    <row r="754" spans="21:23">
      <c r="U754" s="144">
        <v>296451</v>
      </c>
      <c r="V754" s="144">
        <v>120731</v>
      </c>
      <c r="W754" s="143">
        <v>0.625</v>
      </c>
    </row>
    <row r="755" spans="21:23">
      <c r="U755" s="144">
        <v>308309</v>
      </c>
      <c r="V755" s="144">
        <v>120731</v>
      </c>
      <c r="W755" s="143">
        <v>4.4999999999999998E-2</v>
      </c>
    </row>
    <row r="756" spans="21:23">
      <c r="U756" s="144">
        <v>332025</v>
      </c>
      <c r="V756" s="144">
        <v>120731</v>
      </c>
      <c r="W756" s="143">
        <v>4.4999999999999998E-2</v>
      </c>
    </row>
    <row r="757" spans="21:23">
      <c r="U757" s="144">
        <v>355741</v>
      </c>
      <c r="V757" s="144">
        <v>120731</v>
      </c>
      <c r="W757" s="143">
        <v>0.155</v>
      </c>
    </row>
    <row r="758" spans="21:23">
      <c r="U758" s="144">
        <v>4.3536999999999999E-2</v>
      </c>
      <c r="V758" s="144">
        <v>136217</v>
      </c>
      <c r="W758" s="143">
        <v>18751300</v>
      </c>
    </row>
    <row r="759" spans="21:23">
      <c r="U759" s="144">
        <v>11858.1</v>
      </c>
      <c r="V759" s="144">
        <v>136217</v>
      </c>
      <c r="W759" s="143">
        <v>1905770</v>
      </c>
    </row>
    <row r="760" spans="21:23">
      <c r="U760" s="144">
        <v>23716.1</v>
      </c>
      <c r="V760" s="144">
        <v>136217</v>
      </c>
      <c r="W760" s="143">
        <v>980328</v>
      </c>
    </row>
    <row r="761" spans="21:23">
      <c r="U761" s="144">
        <v>35574.199999999997</v>
      </c>
      <c r="V761" s="144">
        <v>136217</v>
      </c>
      <c r="W761" s="143">
        <v>725157</v>
      </c>
    </row>
    <row r="762" spans="21:23">
      <c r="U762" s="144">
        <v>47432.2</v>
      </c>
      <c r="V762" s="144">
        <v>136217</v>
      </c>
      <c r="W762" s="143">
        <v>455280</v>
      </c>
    </row>
    <row r="763" spans="21:23">
      <c r="U763" s="144">
        <v>59290.2</v>
      </c>
      <c r="V763" s="144">
        <v>136217</v>
      </c>
      <c r="W763" s="143">
        <v>278440</v>
      </c>
    </row>
    <row r="764" spans="21:23">
      <c r="U764" s="144">
        <v>71148.3</v>
      </c>
      <c r="V764" s="144">
        <v>136217</v>
      </c>
      <c r="W764" s="143">
        <v>178723</v>
      </c>
    </row>
    <row r="765" spans="21:23">
      <c r="U765" s="144">
        <v>83006.3</v>
      </c>
      <c r="V765" s="144">
        <v>136217</v>
      </c>
      <c r="W765" s="143">
        <v>87368.8</v>
      </c>
    </row>
    <row r="766" spans="21:23">
      <c r="U766" s="144">
        <v>94864.4</v>
      </c>
      <c r="V766" s="144">
        <v>136217</v>
      </c>
      <c r="W766" s="143">
        <v>55142.1</v>
      </c>
    </row>
    <row r="767" spans="21:23">
      <c r="U767" s="144">
        <v>106722</v>
      </c>
      <c r="V767" s="144">
        <v>136217</v>
      </c>
      <c r="W767" s="143">
        <v>27915.5</v>
      </c>
    </row>
    <row r="768" spans="21:23">
      <c r="U768" s="144">
        <v>118580</v>
      </c>
      <c r="V768" s="144">
        <v>136217</v>
      </c>
      <c r="W768" s="143">
        <v>15418.7</v>
      </c>
    </row>
    <row r="769" spans="21:23">
      <c r="U769" s="144">
        <v>130438</v>
      </c>
      <c r="V769" s="144">
        <v>136217</v>
      </c>
      <c r="W769" s="143">
        <v>11524.4</v>
      </c>
    </row>
    <row r="770" spans="21:23">
      <c r="U770" s="144">
        <v>142297</v>
      </c>
      <c r="V770" s="144">
        <v>136217</v>
      </c>
      <c r="W770" s="143">
        <v>6561.08</v>
      </c>
    </row>
    <row r="771" spans="21:23">
      <c r="U771" s="144">
        <v>154155</v>
      </c>
      <c r="V771" s="144">
        <v>136217</v>
      </c>
      <c r="W771" s="143">
        <v>2018.72</v>
      </c>
    </row>
    <row r="772" spans="21:23">
      <c r="U772" s="144">
        <v>166013</v>
      </c>
      <c r="V772" s="144">
        <v>136217</v>
      </c>
      <c r="W772" s="143">
        <v>1135.77</v>
      </c>
    </row>
    <row r="773" spans="21:23">
      <c r="U773" s="144">
        <v>177871</v>
      </c>
      <c r="V773" s="144">
        <v>136217</v>
      </c>
      <c r="W773" s="143">
        <v>187.93</v>
      </c>
    </row>
    <row r="774" spans="21:23">
      <c r="U774" s="144">
        <v>189729</v>
      </c>
      <c r="V774" s="144">
        <v>136217</v>
      </c>
      <c r="W774" s="143">
        <v>167.03</v>
      </c>
    </row>
    <row r="775" spans="21:23">
      <c r="U775" s="144">
        <v>201587</v>
      </c>
      <c r="V775" s="144">
        <v>136217</v>
      </c>
      <c r="W775" s="143">
        <v>4.6849999999999996</v>
      </c>
    </row>
    <row r="776" spans="21:23">
      <c r="U776" s="144">
        <v>213445</v>
      </c>
      <c r="V776" s="144">
        <v>136217</v>
      </c>
      <c r="W776" s="143">
        <v>5.3650000000000002</v>
      </c>
    </row>
    <row r="777" spans="21:23">
      <c r="U777" s="144">
        <v>272735</v>
      </c>
      <c r="V777" s="144">
        <v>136217</v>
      </c>
      <c r="W777" s="143">
        <v>0.19</v>
      </c>
    </row>
    <row r="778" spans="21:23">
      <c r="U778" s="144">
        <v>308309</v>
      </c>
      <c r="V778" s="144">
        <v>136217</v>
      </c>
      <c r="W778" s="143">
        <v>0.14000000000000001</v>
      </c>
    </row>
    <row r="779" spans="21:23">
      <c r="U779" s="144">
        <v>4.3536999999999999E-2</v>
      </c>
      <c r="V779" s="144">
        <v>151703</v>
      </c>
      <c r="W779" s="143">
        <v>17871100</v>
      </c>
    </row>
    <row r="780" spans="21:23">
      <c r="U780" s="144">
        <v>11858.1</v>
      </c>
      <c r="V780" s="144">
        <v>151703</v>
      </c>
      <c r="W780" s="143">
        <v>1980190</v>
      </c>
    </row>
    <row r="781" spans="21:23">
      <c r="U781" s="144">
        <v>23716.1</v>
      </c>
      <c r="V781" s="144">
        <v>151703</v>
      </c>
      <c r="W781" s="143">
        <v>886889</v>
      </c>
    </row>
    <row r="782" spans="21:23">
      <c r="U782" s="144">
        <v>35574.199999999997</v>
      </c>
      <c r="V782" s="144">
        <v>151703</v>
      </c>
      <c r="W782" s="143">
        <v>659562</v>
      </c>
    </row>
    <row r="783" spans="21:23">
      <c r="U783" s="144">
        <v>47432.2</v>
      </c>
      <c r="V783" s="144">
        <v>151703</v>
      </c>
      <c r="W783" s="143">
        <v>446197</v>
      </c>
    </row>
    <row r="784" spans="21:23">
      <c r="U784" s="144">
        <v>59290.2</v>
      </c>
      <c r="V784" s="144">
        <v>151703</v>
      </c>
      <c r="W784" s="143">
        <v>253228</v>
      </c>
    </row>
    <row r="785" spans="21:23">
      <c r="U785" s="144">
        <v>71148.3</v>
      </c>
      <c r="V785" s="144">
        <v>151703</v>
      </c>
      <c r="W785" s="143">
        <v>159354</v>
      </c>
    </row>
    <row r="786" spans="21:23">
      <c r="U786" s="144">
        <v>83006.3</v>
      </c>
      <c r="V786" s="144">
        <v>151703</v>
      </c>
      <c r="W786" s="143">
        <v>83643.5</v>
      </c>
    </row>
    <row r="787" spans="21:23">
      <c r="U787" s="144">
        <v>94864.4</v>
      </c>
      <c r="V787" s="144">
        <v>151703</v>
      </c>
      <c r="W787" s="143">
        <v>46812.9</v>
      </c>
    </row>
    <row r="788" spans="21:23">
      <c r="U788" s="144">
        <v>106722</v>
      </c>
      <c r="V788" s="144">
        <v>151703</v>
      </c>
      <c r="W788" s="143">
        <v>29255.7</v>
      </c>
    </row>
    <row r="789" spans="21:23">
      <c r="U789" s="144">
        <v>118580</v>
      </c>
      <c r="V789" s="144">
        <v>151703</v>
      </c>
      <c r="W789" s="143">
        <v>14603.6</v>
      </c>
    </row>
    <row r="790" spans="21:23">
      <c r="U790" s="144">
        <v>130438</v>
      </c>
      <c r="V790" s="144">
        <v>151703</v>
      </c>
      <c r="W790" s="143">
        <v>5091.26</v>
      </c>
    </row>
    <row r="791" spans="21:23">
      <c r="U791" s="144">
        <v>142297</v>
      </c>
      <c r="V791" s="144">
        <v>151703</v>
      </c>
      <c r="W791" s="143">
        <v>3628.34</v>
      </c>
    </row>
    <row r="792" spans="21:23">
      <c r="U792" s="144">
        <v>154155</v>
      </c>
      <c r="V792" s="144">
        <v>151703</v>
      </c>
      <c r="W792" s="143">
        <v>2213.77</v>
      </c>
    </row>
    <row r="793" spans="21:23">
      <c r="U793" s="144">
        <v>166013</v>
      </c>
      <c r="V793" s="144">
        <v>151703</v>
      </c>
      <c r="W793" s="143">
        <v>532.24</v>
      </c>
    </row>
    <row r="794" spans="21:23">
      <c r="U794" s="144">
        <v>177871</v>
      </c>
      <c r="V794" s="144">
        <v>151703</v>
      </c>
      <c r="W794" s="143">
        <v>91.58</v>
      </c>
    </row>
    <row r="795" spans="21:23">
      <c r="U795" s="144">
        <v>189729</v>
      </c>
      <c r="V795" s="144">
        <v>151703</v>
      </c>
      <c r="W795" s="143">
        <v>23.2</v>
      </c>
    </row>
    <row r="796" spans="21:23">
      <c r="U796" s="144">
        <v>201587</v>
      </c>
      <c r="V796" s="144">
        <v>151703</v>
      </c>
      <c r="W796" s="143">
        <v>30.524999999999999</v>
      </c>
    </row>
    <row r="797" spans="21:23">
      <c r="U797" s="144">
        <v>213445</v>
      </c>
      <c r="V797" s="144">
        <v>151703</v>
      </c>
      <c r="W797" s="143">
        <v>133.88499999999999</v>
      </c>
    </row>
    <row r="798" spans="21:23">
      <c r="U798" s="144">
        <v>225303</v>
      </c>
      <c r="V798" s="144">
        <v>151703</v>
      </c>
      <c r="W798" s="143">
        <v>0.20499999999999999</v>
      </c>
    </row>
    <row r="799" spans="21:23">
      <c r="U799" s="144">
        <v>4.3536999999999999E-2</v>
      </c>
      <c r="V799" s="144">
        <v>167189</v>
      </c>
      <c r="W799" s="143">
        <v>15062100</v>
      </c>
    </row>
    <row r="800" spans="21:23">
      <c r="U800" s="144">
        <v>11858.1</v>
      </c>
      <c r="V800" s="144">
        <v>167189</v>
      </c>
      <c r="W800" s="143">
        <v>1723800</v>
      </c>
    </row>
    <row r="801" spans="21:23">
      <c r="U801" s="144">
        <v>23716.1</v>
      </c>
      <c r="V801" s="144">
        <v>167189</v>
      </c>
      <c r="W801" s="143">
        <v>722311</v>
      </c>
    </row>
    <row r="802" spans="21:23">
      <c r="U802" s="144">
        <v>35574.199999999997</v>
      </c>
      <c r="V802" s="144">
        <v>167189</v>
      </c>
      <c r="W802" s="143">
        <v>594374</v>
      </c>
    </row>
    <row r="803" spans="21:23">
      <c r="U803" s="144">
        <v>47432.2</v>
      </c>
      <c r="V803" s="144">
        <v>167189</v>
      </c>
      <c r="W803" s="143">
        <v>362207</v>
      </c>
    </row>
    <row r="804" spans="21:23">
      <c r="U804" s="144">
        <v>59290.2</v>
      </c>
      <c r="V804" s="144">
        <v>167189</v>
      </c>
      <c r="W804" s="143">
        <v>203520</v>
      </c>
    </row>
    <row r="805" spans="21:23">
      <c r="U805" s="144">
        <v>71148.3</v>
      </c>
      <c r="V805" s="144">
        <v>167189</v>
      </c>
      <c r="W805" s="143">
        <v>103701</v>
      </c>
    </row>
    <row r="806" spans="21:23">
      <c r="U806" s="144">
        <v>83006.3</v>
      </c>
      <c r="V806" s="144">
        <v>167189</v>
      </c>
      <c r="W806" s="143">
        <v>58695.4</v>
      </c>
    </row>
    <row r="807" spans="21:23">
      <c r="U807" s="144">
        <v>94864.4</v>
      </c>
      <c r="V807" s="144">
        <v>167189</v>
      </c>
      <c r="W807" s="143">
        <v>33397.800000000003</v>
      </c>
    </row>
    <row r="808" spans="21:23">
      <c r="U808" s="144">
        <v>106722</v>
      </c>
      <c r="V808" s="144">
        <v>167189</v>
      </c>
      <c r="W808" s="143">
        <v>22564</v>
      </c>
    </row>
    <row r="809" spans="21:23">
      <c r="U809" s="144">
        <v>118580</v>
      </c>
      <c r="V809" s="144">
        <v>167189</v>
      </c>
      <c r="W809" s="143">
        <v>13654.4</v>
      </c>
    </row>
    <row r="810" spans="21:23">
      <c r="U810" s="144">
        <v>130438</v>
      </c>
      <c r="V810" s="144">
        <v>167189</v>
      </c>
      <c r="W810" s="143">
        <v>9300.94</v>
      </c>
    </row>
    <row r="811" spans="21:23">
      <c r="U811" s="144">
        <v>142297</v>
      </c>
      <c r="V811" s="144">
        <v>167189</v>
      </c>
      <c r="W811" s="143">
        <v>5235.54</v>
      </c>
    </row>
    <row r="812" spans="21:23">
      <c r="U812" s="144">
        <v>154155</v>
      </c>
      <c r="V812" s="144">
        <v>167189</v>
      </c>
      <c r="W812" s="143">
        <v>4118.1099999999997</v>
      </c>
    </row>
    <row r="813" spans="21:23">
      <c r="U813" s="144">
        <v>166013</v>
      </c>
      <c r="V813" s="144">
        <v>167189</v>
      </c>
      <c r="W813" s="143">
        <v>421.31</v>
      </c>
    </row>
    <row r="814" spans="21:23">
      <c r="U814" s="144">
        <v>177871</v>
      </c>
      <c r="V814" s="144">
        <v>167189</v>
      </c>
      <c r="W814" s="143">
        <v>366.47500000000002</v>
      </c>
    </row>
    <row r="815" spans="21:23">
      <c r="U815" s="144">
        <v>189729</v>
      </c>
      <c r="V815" s="144">
        <v>167189</v>
      </c>
      <c r="W815" s="143">
        <v>1.1399999999999999</v>
      </c>
    </row>
    <row r="816" spans="21:23">
      <c r="U816" s="144">
        <v>213445</v>
      </c>
      <c r="V816" s="144">
        <v>167189</v>
      </c>
      <c r="W816" s="143">
        <v>14.875</v>
      </c>
    </row>
    <row r="817" spans="21:23">
      <c r="U817" s="144">
        <v>225303</v>
      </c>
      <c r="V817" s="144">
        <v>167189</v>
      </c>
      <c r="W817" s="143">
        <v>14.875</v>
      </c>
    </row>
    <row r="818" spans="21:23">
      <c r="U818" s="144">
        <v>4.3536999999999999E-2</v>
      </c>
      <c r="V818" s="144">
        <v>182674</v>
      </c>
      <c r="W818" s="143">
        <v>12955600</v>
      </c>
    </row>
    <row r="819" spans="21:23">
      <c r="U819" s="144">
        <v>11858.1</v>
      </c>
      <c r="V819" s="144">
        <v>182674</v>
      </c>
      <c r="W819" s="143">
        <v>1401700</v>
      </c>
    </row>
    <row r="820" spans="21:23">
      <c r="U820" s="144">
        <v>23716.1</v>
      </c>
      <c r="V820" s="144">
        <v>182674</v>
      </c>
      <c r="W820" s="143">
        <v>618534</v>
      </c>
    </row>
    <row r="821" spans="21:23">
      <c r="U821" s="144">
        <v>35574.199999999997</v>
      </c>
      <c r="V821" s="144">
        <v>182674</v>
      </c>
      <c r="W821" s="143">
        <v>545653</v>
      </c>
    </row>
    <row r="822" spans="21:23">
      <c r="U822" s="144">
        <v>47432.2</v>
      </c>
      <c r="V822" s="144">
        <v>182674</v>
      </c>
      <c r="W822" s="143">
        <v>335342</v>
      </c>
    </row>
    <row r="823" spans="21:23">
      <c r="U823" s="144">
        <v>59290.2</v>
      </c>
      <c r="V823" s="144">
        <v>182674</v>
      </c>
      <c r="W823" s="143">
        <v>223377</v>
      </c>
    </row>
    <row r="824" spans="21:23">
      <c r="U824" s="144">
        <v>71148.3</v>
      </c>
      <c r="V824" s="144">
        <v>182674</v>
      </c>
      <c r="W824" s="143">
        <v>110896</v>
      </c>
    </row>
    <row r="825" spans="21:23">
      <c r="U825" s="144">
        <v>83006.3</v>
      </c>
      <c r="V825" s="144">
        <v>182674</v>
      </c>
      <c r="W825" s="143">
        <v>52565.5</v>
      </c>
    </row>
    <row r="826" spans="21:23">
      <c r="U826" s="144">
        <v>94864.4</v>
      </c>
      <c r="V826" s="144">
        <v>182674</v>
      </c>
      <c r="W826" s="143">
        <v>29289.9</v>
      </c>
    </row>
    <row r="827" spans="21:23">
      <c r="U827" s="144">
        <v>106722</v>
      </c>
      <c r="V827" s="144">
        <v>182674</v>
      </c>
      <c r="W827" s="143">
        <v>24224.1</v>
      </c>
    </row>
    <row r="828" spans="21:23">
      <c r="U828" s="144">
        <v>118580</v>
      </c>
      <c r="V828" s="144">
        <v>182674</v>
      </c>
      <c r="W828" s="143">
        <v>15973.3</v>
      </c>
    </row>
    <row r="829" spans="21:23">
      <c r="U829" s="144">
        <v>130438</v>
      </c>
      <c r="V829" s="144">
        <v>182674</v>
      </c>
      <c r="W829" s="143">
        <v>10949.9</v>
      </c>
    </row>
    <row r="830" spans="21:23">
      <c r="U830" s="144">
        <v>142297</v>
      </c>
      <c r="V830" s="144">
        <v>182674</v>
      </c>
      <c r="W830" s="143">
        <v>4604.92</v>
      </c>
    </row>
    <row r="831" spans="21:23">
      <c r="U831" s="144">
        <v>154155</v>
      </c>
      <c r="V831" s="144">
        <v>182674</v>
      </c>
      <c r="W831" s="143">
        <v>2367.6999999999998</v>
      </c>
    </row>
    <row r="832" spans="21:23">
      <c r="U832" s="144">
        <v>166013</v>
      </c>
      <c r="V832" s="144">
        <v>182674</v>
      </c>
      <c r="W832" s="143">
        <v>2646.06</v>
      </c>
    </row>
    <row r="833" spans="21:23">
      <c r="U833" s="144">
        <v>177871</v>
      </c>
      <c r="V833" s="144">
        <v>182674</v>
      </c>
      <c r="W833" s="143">
        <v>79.959999999999994</v>
      </c>
    </row>
    <row r="834" spans="21:23">
      <c r="U834" s="144">
        <v>189729</v>
      </c>
      <c r="V834" s="144">
        <v>182674</v>
      </c>
      <c r="W834" s="143">
        <v>104.68</v>
      </c>
    </row>
    <row r="835" spans="21:23">
      <c r="U835" s="144">
        <v>4.3536999999999999E-2</v>
      </c>
      <c r="V835" s="144">
        <v>198160</v>
      </c>
      <c r="W835" s="143">
        <v>13280800</v>
      </c>
    </row>
    <row r="836" spans="21:23">
      <c r="U836" s="144">
        <v>11858.1</v>
      </c>
      <c r="V836" s="144">
        <v>198160</v>
      </c>
      <c r="W836" s="143">
        <v>1337530</v>
      </c>
    </row>
    <row r="837" spans="21:23">
      <c r="U837" s="144">
        <v>23716.1</v>
      </c>
      <c r="V837" s="144">
        <v>198160</v>
      </c>
      <c r="W837" s="143">
        <v>639518</v>
      </c>
    </row>
    <row r="838" spans="21:23">
      <c r="U838" s="144">
        <v>35574.199999999997</v>
      </c>
      <c r="V838" s="144">
        <v>198160</v>
      </c>
      <c r="W838" s="143">
        <v>546403</v>
      </c>
    </row>
    <row r="839" spans="21:23">
      <c r="U839" s="144">
        <v>47432.2</v>
      </c>
      <c r="V839" s="144">
        <v>198160</v>
      </c>
      <c r="W839" s="143">
        <v>335408</v>
      </c>
    </row>
    <row r="840" spans="21:23">
      <c r="U840" s="144">
        <v>59290.2</v>
      </c>
      <c r="V840" s="144">
        <v>198160</v>
      </c>
      <c r="W840" s="143">
        <v>164653</v>
      </c>
    </row>
    <row r="841" spans="21:23">
      <c r="U841" s="144">
        <v>71148.3</v>
      </c>
      <c r="V841" s="144">
        <v>198160</v>
      </c>
      <c r="W841" s="143">
        <v>105235</v>
      </c>
    </row>
    <row r="842" spans="21:23">
      <c r="U842" s="144">
        <v>83006.3</v>
      </c>
      <c r="V842" s="144">
        <v>198160</v>
      </c>
      <c r="W842" s="143">
        <v>43436.9</v>
      </c>
    </row>
    <row r="843" spans="21:23">
      <c r="U843" s="144">
        <v>94864.4</v>
      </c>
      <c r="V843" s="144">
        <v>198160</v>
      </c>
      <c r="W843" s="143">
        <v>23667.3</v>
      </c>
    </row>
    <row r="844" spans="21:23">
      <c r="U844" s="144">
        <v>106722</v>
      </c>
      <c r="V844" s="144">
        <v>198160</v>
      </c>
      <c r="W844" s="143">
        <v>15849.4</v>
      </c>
    </row>
    <row r="845" spans="21:23">
      <c r="U845" s="144">
        <v>118580</v>
      </c>
      <c r="V845" s="144">
        <v>198160</v>
      </c>
      <c r="W845" s="143">
        <v>9133.59</v>
      </c>
    </row>
    <row r="846" spans="21:23">
      <c r="U846" s="144">
        <v>130438</v>
      </c>
      <c r="V846" s="144">
        <v>198160</v>
      </c>
      <c r="W846" s="143">
        <v>7456.5</v>
      </c>
    </row>
    <row r="847" spans="21:23">
      <c r="U847" s="144">
        <v>142297</v>
      </c>
      <c r="V847" s="144">
        <v>198160</v>
      </c>
      <c r="W847" s="143">
        <v>12454.1</v>
      </c>
    </row>
    <row r="848" spans="21:23">
      <c r="U848" s="144">
        <v>154155</v>
      </c>
      <c r="V848" s="144">
        <v>198160</v>
      </c>
      <c r="W848" s="143">
        <v>1820.13</v>
      </c>
    </row>
    <row r="849" spans="21:23">
      <c r="U849" s="144">
        <v>166013</v>
      </c>
      <c r="V849" s="144">
        <v>198160</v>
      </c>
      <c r="W849" s="143">
        <v>4219.38</v>
      </c>
    </row>
    <row r="850" spans="21:23">
      <c r="U850" s="144">
        <v>177871</v>
      </c>
      <c r="V850" s="144">
        <v>198160</v>
      </c>
      <c r="W850" s="143">
        <v>499.43</v>
      </c>
    </row>
    <row r="851" spans="21:23">
      <c r="U851" s="144">
        <v>189729</v>
      </c>
      <c r="V851" s="144">
        <v>198160</v>
      </c>
      <c r="W851" s="143">
        <v>13.414999999999999</v>
      </c>
    </row>
    <row r="852" spans="21:23">
      <c r="U852" s="144">
        <v>4.3536999999999999E-2</v>
      </c>
      <c r="V852" s="144">
        <v>213646</v>
      </c>
      <c r="W852" s="143">
        <v>11869100</v>
      </c>
    </row>
    <row r="853" spans="21:23">
      <c r="U853" s="144">
        <v>11858.1</v>
      </c>
      <c r="V853" s="144">
        <v>213646</v>
      </c>
      <c r="W853" s="143">
        <v>1239710</v>
      </c>
    </row>
    <row r="854" spans="21:23">
      <c r="U854" s="144">
        <v>23716.1</v>
      </c>
      <c r="V854" s="144">
        <v>213646</v>
      </c>
      <c r="W854" s="143">
        <v>574073</v>
      </c>
    </row>
    <row r="855" spans="21:23">
      <c r="U855" s="144">
        <v>35574.199999999997</v>
      </c>
      <c r="V855" s="144">
        <v>213646</v>
      </c>
      <c r="W855" s="143">
        <v>491659</v>
      </c>
    </row>
    <row r="856" spans="21:23">
      <c r="U856" s="144">
        <v>47432.2</v>
      </c>
      <c r="V856" s="144">
        <v>213646</v>
      </c>
      <c r="W856" s="143">
        <v>273129</v>
      </c>
    </row>
    <row r="857" spans="21:23">
      <c r="U857" s="144">
        <v>59290.2</v>
      </c>
      <c r="V857" s="144">
        <v>213646</v>
      </c>
      <c r="W857" s="143">
        <v>143489</v>
      </c>
    </row>
    <row r="858" spans="21:23">
      <c r="U858" s="144">
        <v>71148.3</v>
      </c>
      <c r="V858" s="144">
        <v>213646</v>
      </c>
      <c r="W858" s="143">
        <v>65506.6</v>
      </c>
    </row>
    <row r="859" spans="21:23">
      <c r="U859" s="144">
        <v>83006.3</v>
      </c>
      <c r="V859" s="144">
        <v>213646</v>
      </c>
      <c r="W859" s="143">
        <v>25351.4</v>
      </c>
    </row>
    <row r="860" spans="21:23">
      <c r="U860" s="144">
        <v>94864.4</v>
      </c>
      <c r="V860" s="144">
        <v>213646</v>
      </c>
      <c r="W860" s="143">
        <v>21307.7</v>
      </c>
    </row>
    <row r="861" spans="21:23">
      <c r="U861" s="144">
        <v>106722</v>
      </c>
      <c r="V861" s="144">
        <v>213646</v>
      </c>
      <c r="W861" s="143">
        <v>9050.84</v>
      </c>
    </row>
    <row r="862" spans="21:23">
      <c r="U862" s="144">
        <v>118580</v>
      </c>
      <c r="V862" s="144">
        <v>213646</v>
      </c>
      <c r="W862" s="143">
        <v>9960.9699999999993</v>
      </c>
    </row>
    <row r="863" spans="21:23">
      <c r="U863" s="144">
        <v>130438</v>
      </c>
      <c r="V863" s="144">
        <v>213646</v>
      </c>
      <c r="W863" s="143">
        <v>9512.91</v>
      </c>
    </row>
    <row r="864" spans="21:23">
      <c r="U864" s="144">
        <v>142297</v>
      </c>
      <c r="V864" s="144">
        <v>213646</v>
      </c>
      <c r="W864" s="143">
        <v>6166.37</v>
      </c>
    </row>
    <row r="865" spans="21:23">
      <c r="U865" s="144">
        <v>154155</v>
      </c>
      <c r="V865" s="144">
        <v>213646</v>
      </c>
      <c r="W865" s="143">
        <v>3968.61</v>
      </c>
    </row>
    <row r="866" spans="21:23">
      <c r="U866" s="144">
        <v>166013</v>
      </c>
      <c r="V866" s="144">
        <v>213646</v>
      </c>
      <c r="W866" s="143">
        <v>116.27500000000001</v>
      </c>
    </row>
    <row r="867" spans="21:23">
      <c r="U867" s="144">
        <v>177871</v>
      </c>
      <c r="V867" s="144">
        <v>213646</v>
      </c>
      <c r="W867" s="143">
        <v>1162.8699999999999</v>
      </c>
    </row>
    <row r="868" spans="21:23">
      <c r="U868" s="144">
        <v>4.3536999999999999E-2</v>
      </c>
      <c r="V868" s="144">
        <v>229132</v>
      </c>
      <c r="W868" s="143">
        <v>9940970</v>
      </c>
    </row>
    <row r="869" spans="21:23">
      <c r="U869" s="144">
        <v>11858.1</v>
      </c>
      <c r="V869" s="144">
        <v>229132</v>
      </c>
      <c r="W869" s="143">
        <v>1037510</v>
      </c>
    </row>
    <row r="870" spans="21:23">
      <c r="U870" s="144">
        <v>23716.1</v>
      </c>
      <c r="V870" s="144">
        <v>229132</v>
      </c>
      <c r="W870" s="143">
        <v>467433</v>
      </c>
    </row>
    <row r="871" spans="21:23">
      <c r="U871" s="144">
        <v>35574.199999999997</v>
      </c>
      <c r="V871" s="144">
        <v>229132</v>
      </c>
      <c r="W871" s="143">
        <v>375604</v>
      </c>
    </row>
    <row r="872" spans="21:23">
      <c r="U872" s="144">
        <v>47432.2</v>
      </c>
      <c r="V872" s="144">
        <v>229132</v>
      </c>
      <c r="W872" s="143">
        <v>264062</v>
      </c>
    </row>
    <row r="873" spans="21:23">
      <c r="U873" s="144">
        <v>59290.2</v>
      </c>
      <c r="V873" s="144">
        <v>229132</v>
      </c>
      <c r="W873" s="143">
        <v>126629</v>
      </c>
    </row>
    <row r="874" spans="21:23">
      <c r="U874" s="144">
        <v>71148.3</v>
      </c>
      <c r="V874" s="144">
        <v>229132</v>
      </c>
      <c r="W874" s="143">
        <v>61221.9</v>
      </c>
    </row>
    <row r="875" spans="21:23">
      <c r="U875" s="144">
        <v>83006.3</v>
      </c>
      <c r="V875" s="144">
        <v>229132</v>
      </c>
      <c r="W875" s="143">
        <v>28846.5</v>
      </c>
    </row>
    <row r="876" spans="21:23">
      <c r="U876" s="144">
        <v>94864.4</v>
      </c>
      <c r="V876" s="144">
        <v>229132</v>
      </c>
      <c r="W876" s="143">
        <v>14378.4</v>
      </c>
    </row>
    <row r="877" spans="21:23">
      <c r="U877" s="144">
        <v>106722</v>
      </c>
      <c r="V877" s="144">
        <v>229132</v>
      </c>
      <c r="W877" s="143">
        <v>9620.44</v>
      </c>
    </row>
    <row r="878" spans="21:23">
      <c r="U878" s="144">
        <v>118580</v>
      </c>
      <c r="V878" s="144">
        <v>229132</v>
      </c>
      <c r="W878" s="143">
        <v>6120.83</v>
      </c>
    </row>
    <row r="879" spans="21:23">
      <c r="U879" s="144">
        <v>130438</v>
      </c>
      <c r="V879" s="144">
        <v>229132</v>
      </c>
      <c r="W879" s="143">
        <v>6112.91</v>
      </c>
    </row>
    <row r="880" spans="21:23">
      <c r="U880" s="144">
        <v>142297</v>
      </c>
      <c r="V880" s="144">
        <v>229132</v>
      </c>
      <c r="W880" s="143">
        <v>4270.2700000000004</v>
      </c>
    </row>
    <row r="881" spans="21:23">
      <c r="U881" s="144">
        <v>154155</v>
      </c>
      <c r="V881" s="144">
        <v>229132</v>
      </c>
      <c r="W881" s="143">
        <v>1857.66</v>
      </c>
    </row>
    <row r="882" spans="21:23">
      <c r="U882" s="144">
        <v>166013</v>
      </c>
      <c r="V882" s="144">
        <v>229132</v>
      </c>
      <c r="W882" s="143">
        <v>978.40499999999997</v>
      </c>
    </row>
    <row r="883" spans="21:23">
      <c r="U883" s="144">
        <v>177871</v>
      </c>
      <c r="V883" s="144">
        <v>229132</v>
      </c>
      <c r="W883" s="143">
        <v>38.454999999999998</v>
      </c>
    </row>
    <row r="884" spans="21:23">
      <c r="U884" s="144">
        <v>4.3536999999999999E-2</v>
      </c>
      <c r="V884" s="144">
        <v>244618</v>
      </c>
      <c r="W884" s="143">
        <v>6307200</v>
      </c>
    </row>
    <row r="885" spans="21:23">
      <c r="U885" s="144">
        <v>11858.1</v>
      </c>
      <c r="V885" s="144">
        <v>244618</v>
      </c>
      <c r="W885" s="143">
        <v>649847</v>
      </c>
    </row>
    <row r="886" spans="21:23">
      <c r="U886" s="144">
        <v>23716.1</v>
      </c>
      <c r="V886" s="144">
        <v>244618</v>
      </c>
      <c r="W886" s="143">
        <v>279572</v>
      </c>
    </row>
    <row r="887" spans="21:23">
      <c r="U887" s="144">
        <v>35574.199999999997</v>
      </c>
      <c r="V887" s="144">
        <v>244618</v>
      </c>
      <c r="W887" s="143">
        <v>244796</v>
      </c>
    </row>
    <row r="888" spans="21:23">
      <c r="U888" s="144">
        <v>47432.2</v>
      </c>
      <c r="V888" s="144">
        <v>244618</v>
      </c>
      <c r="W888" s="143">
        <v>161853</v>
      </c>
    </row>
    <row r="889" spans="21:23">
      <c r="U889" s="144">
        <v>59290.2</v>
      </c>
      <c r="V889" s="144">
        <v>244618</v>
      </c>
      <c r="W889" s="143">
        <v>80048.3</v>
      </c>
    </row>
    <row r="890" spans="21:23">
      <c r="U890" s="144">
        <v>71148.3</v>
      </c>
      <c r="V890" s="144">
        <v>244618</v>
      </c>
      <c r="W890" s="143">
        <v>36673.800000000003</v>
      </c>
    </row>
    <row r="891" spans="21:23">
      <c r="U891" s="144">
        <v>83006.3</v>
      </c>
      <c r="V891" s="144">
        <v>244618</v>
      </c>
      <c r="W891" s="143">
        <v>24597.5</v>
      </c>
    </row>
    <row r="892" spans="21:23">
      <c r="U892" s="144">
        <v>94864.4</v>
      </c>
      <c r="V892" s="144">
        <v>244618</v>
      </c>
      <c r="W892" s="143">
        <v>5798.54</v>
      </c>
    </row>
    <row r="893" spans="21:23">
      <c r="U893" s="144">
        <v>106722</v>
      </c>
      <c r="V893" s="144">
        <v>244618</v>
      </c>
      <c r="W893" s="143">
        <v>7397.85</v>
      </c>
    </row>
    <row r="894" spans="21:23">
      <c r="U894" s="144">
        <v>118580</v>
      </c>
      <c r="V894" s="144">
        <v>244618</v>
      </c>
      <c r="W894" s="143">
        <v>4681.76</v>
      </c>
    </row>
    <row r="895" spans="21:23">
      <c r="U895" s="144">
        <v>130438</v>
      </c>
      <c r="V895" s="144">
        <v>244618</v>
      </c>
      <c r="W895" s="143">
        <v>1101.18</v>
      </c>
    </row>
    <row r="896" spans="21:23">
      <c r="U896" s="144">
        <v>142297</v>
      </c>
      <c r="V896" s="144">
        <v>244618</v>
      </c>
      <c r="W896" s="143">
        <v>1072.1600000000001</v>
      </c>
    </row>
    <row r="897" spans="21:23">
      <c r="U897" s="144">
        <v>154155</v>
      </c>
      <c r="V897" s="144">
        <v>244618</v>
      </c>
      <c r="W897" s="143">
        <v>49.305</v>
      </c>
    </row>
    <row r="898" spans="21:23">
      <c r="U898" s="144">
        <v>4.3536999999999999E-2</v>
      </c>
      <c r="V898" s="144">
        <v>260103</v>
      </c>
      <c r="W898" s="143">
        <v>3474800</v>
      </c>
    </row>
    <row r="899" spans="21:23">
      <c r="U899" s="144">
        <v>11858.1</v>
      </c>
      <c r="V899" s="144">
        <v>260103</v>
      </c>
      <c r="W899" s="143">
        <v>332625</v>
      </c>
    </row>
    <row r="900" spans="21:23">
      <c r="U900" s="144">
        <v>23716.1</v>
      </c>
      <c r="V900" s="144">
        <v>260103</v>
      </c>
      <c r="W900" s="143">
        <v>148273</v>
      </c>
    </row>
    <row r="901" spans="21:23">
      <c r="U901" s="144">
        <v>35574.199999999997</v>
      </c>
      <c r="V901" s="144">
        <v>260103</v>
      </c>
      <c r="W901" s="143">
        <v>128125</v>
      </c>
    </row>
    <row r="902" spans="21:23">
      <c r="U902" s="144">
        <v>47432.2</v>
      </c>
      <c r="V902" s="144">
        <v>260103</v>
      </c>
      <c r="W902" s="143">
        <v>101223</v>
      </c>
    </row>
    <row r="903" spans="21:23">
      <c r="U903" s="144">
        <v>59290.2</v>
      </c>
      <c r="V903" s="144">
        <v>260103</v>
      </c>
      <c r="W903" s="143">
        <v>51365.8</v>
      </c>
    </row>
    <row r="904" spans="21:23">
      <c r="U904" s="144">
        <v>71148.3</v>
      </c>
      <c r="V904" s="144">
        <v>260103</v>
      </c>
      <c r="W904" s="143">
        <v>19968.599999999999</v>
      </c>
    </row>
    <row r="905" spans="21:23">
      <c r="U905" s="144">
        <v>83006.3</v>
      </c>
      <c r="V905" s="144">
        <v>260103</v>
      </c>
      <c r="W905" s="143">
        <v>8635.4599999999991</v>
      </c>
    </row>
    <row r="906" spans="21:23">
      <c r="U906" s="144">
        <v>94864.4</v>
      </c>
      <c r="V906" s="144">
        <v>260103</v>
      </c>
      <c r="W906" s="143">
        <v>1872.41</v>
      </c>
    </row>
    <row r="907" spans="21:23">
      <c r="U907" s="144">
        <v>106722</v>
      </c>
      <c r="V907" s="144">
        <v>260103</v>
      </c>
      <c r="W907" s="143">
        <v>624.52499999999998</v>
      </c>
    </row>
    <row r="908" spans="21:23">
      <c r="U908" s="144">
        <v>118580</v>
      </c>
      <c r="V908" s="144">
        <v>260103</v>
      </c>
      <c r="W908" s="143">
        <v>61.88</v>
      </c>
    </row>
    <row r="909" spans="21:23">
      <c r="U909" s="144">
        <v>4.3536999999999999E-2</v>
      </c>
      <c r="V909" s="144">
        <v>275589</v>
      </c>
      <c r="W909" s="143">
        <v>1430050</v>
      </c>
    </row>
    <row r="910" spans="21:23">
      <c r="U910" s="144">
        <v>11858.1</v>
      </c>
      <c r="V910" s="144">
        <v>275589</v>
      </c>
      <c r="W910" s="143">
        <v>116992</v>
      </c>
    </row>
    <row r="911" spans="21:23">
      <c r="U911" s="144">
        <v>23716.1</v>
      </c>
      <c r="V911" s="144">
        <v>275589</v>
      </c>
      <c r="W911" s="143">
        <v>27276.6</v>
      </c>
    </row>
    <row r="912" spans="21:23">
      <c r="U912" s="144">
        <v>35574.199999999997</v>
      </c>
      <c r="V912" s="144">
        <v>275589</v>
      </c>
      <c r="W912" s="143">
        <v>19649.5</v>
      </c>
    </row>
    <row r="913" spans="21:23">
      <c r="U913" s="144">
        <v>47432.2</v>
      </c>
      <c r="V913" s="144">
        <v>275589</v>
      </c>
      <c r="W913" s="143">
        <v>4097.67</v>
      </c>
    </row>
    <row r="914" spans="21:23">
      <c r="U914" s="144">
        <v>59290.2</v>
      </c>
      <c r="V914" s="144">
        <v>275589</v>
      </c>
      <c r="W914" s="143">
        <v>3597.89</v>
      </c>
    </row>
    <row r="915" spans="21:23">
      <c r="U915" s="144">
        <v>71148.3</v>
      </c>
      <c r="V915" s="144">
        <v>275589</v>
      </c>
      <c r="W915" s="143">
        <v>324.45999999999998</v>
      </c>
    </row>
    <row r="916" spans="21:23">
      <c r="U916" s="144">
        <v>83006.3</v>
      </c>
      <c r="V916" s="144">
        <v>275589</v>
      </c>
      <c r="W916" s="143">
        <v>3.0350000000000001</v>
      </c>
    </row>
    <row r="917" spans="21:23">
      <c r="U917" s="144">
        <v>4.3536999999999999E-2</v>
      </c>
      <c r="V917" s="144">
        <v>291075</v>
      </c>
      <c r="W917" s="143">
        <v>265039</v>
      </c>
    </row>
    <row r="918" spans="21:23">
      <c r="U918" s="144">
        <v>11858.1</v>
      </c>
      <c r="V918" s="144">
        <v>291075</v>
      </c>
      <c r="W918" s="143">
        <v>9835.2999999999993</v>
      </c>
    </row>
    <row r="919" spans="21:23">
      <c r="U919" s="144">
        <v>47432.2</v>
      </c>
      <c r="V919" s="144">
        <v>291075</v>
      </c>
      <c r="W919" s="143">
        <v>3.0350000000000001</v>
      </c>
    </row>
    <row r="920" spans="21:23">
      <c r="U920" s="144">
        <v>4.3536999999999999E-2</v>
      </c>
      <c r="V920" s="144">
        <v>306561</v>
      </c>
      <c r="W920" s="143">
        <v>13347.4</v>
      </c>
    </row>
    <row r="921" spans="21:23">
      <c r="U921" s="144">
        <v>11858.1</v>
      </c>
      <c r="V921" s="144">
        <v>306561</v>
      </c>
      <c r="W921" s="143">
        <v>126.88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339</vt:i4>
      </vt:variant>
    </vt:vector>
  </HeadingPairs>
  <TitlesOfParts>
    <vt:vector size="345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PyFlange_Gap120deg!Z_2_td</vt:lpstr>
      <vt:lpstr>PyFlange_Gap30deg!Z_2_td</vt:lpstr>
      <vt:lpstr>PyFlange_Gap60deg!Z_2_td</vt:lpstr>
      <vt:lpstr>PyFlange_Gap90deg!Z_2_td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2024-10-02T11:53:59Z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